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8C4F1C90-05EB-6A55-5F09-09C24B55AC0B}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X:\XIX^ Sessione 2016-2021\CIRCOLARI CNI in WORD - XIX Sessione\2019\Lineeguida.PI\"/>
    </mc:Choice>
  </mc:AlternateContent>
  <bookViews>
    <workbookView xWindow="0" yWindow="0" windowWidth="23040" windowHeight="9408"/>
  </bookViews>
  <sheets>
    <sheet name="FOGLIO CALCOLI" sheetId="2" r:id="rId1"/>
    <sheet name="ARCHIVIO" sheetId="5" state="hidden" r:id="rId2"/>
    <sheet name="PARAMETRI ATTIVITA" sheetId="1" state="hidden" r:id="rId3"/>
    <sheet name="MULTI ATTIVITA" sheetId="3" state="hidden" r:id="rId4"/>
    <sheet name="PARAMETRI ATTIVITA (2)" sheetId="6" state="hidden" r:id="rId5"/>
    <sheet name="Foglio1" sheetId="7" state="hidden" r:id="rId6"/>
    <sheet name="FOGLIO CALCOLI (2)" sheetId="4" state="hidden" r:id="rId7"/>
    <sheet name="Foglio2" sheetId="8" r:id="rId8"/>
  </sheets>
  <definedNames>
    <definedName name="_xlnm.Print_Area" localSheetId="4">'PARAMETRI ATTIVITA (2)'!$A$1:$L$114</definedName>
    <definedName name="codAtt" localSheetId="4">'PARAMETRI ATTIVITA (2)'!$A$3:$A$139</definedName>
    <definedName name="codAtt">'PARAMETRI ATTIVITA'!$A$2:$A$140</definedName>
    <definedName name="PARG">'FOGLIO CALCOLI'!$AI$7</definedName>
    <definedName name="PARHF1">'FOGLIO CALCOLI'!$AI$9</definedName>
    <definedName name="PARHF2">'FOGLIO CALCOLI'!$AI$10</definedName>
    <definedName name="ParX" localSheetId="4">'PARAMETRI ATTIVITA (2)'!$I$3:$J$139</definedName>
    <definedName name="ParX">'PARAMETRI ATTIVITA'!$G$2:$H$140</definedName>
    <definedName name="PARY" localSheetId="4">'PARAMETRI ATTIVITA (2)'!$K$3:$L$139</definedName>
    <definedName name="PARY">'PARAMETRI ATTIVITA'!$I$2:$J$140</definedName>
    <definedName name="TabAtt" localSheetId="4">'PARAMETRI ATTIVITA (2)'!$A$3:$P$139</definedName>
    <definedName name="TabAtt">'PARAMETRI ATTIVITA'!$A$2:$N$140</definedName>
    <definedName name="_xlnm.Print_Titles" localSheetId="4">'PARAMETRI ATTIVITA (2)'!$1:$2</definedName>
    <definedName name="UnMis" localSheetId="4">'PARAMETRI ATTIVITA (2)'!$D$3:$L$139</definedName>
    <definedName name="UnMis">'PARAMETRI ATTIVITA'!$D$2:$L$140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2" l="1"/>
  <c r="U8" i="2" s="1"/>
  <c r="V6" i="2"/>
  <c r="T6" i="2"/>
  <c r="T8" i="2" s="1"/>
  <c r="AI13" i="2" l="1"/>
  <c r="AL9" i="2"/>
  <c r="AL8" i="2"/>
  <c r="O5" i="2"/>
  <c r="AM37" i="2"/>
  <c r="AJ37" i="2"/>
  <c r="I27" i="7" l="1"/>
  <c r="H28" i="7"/>
  <c r="G26" i="7"/>
  <c r="R28" i="7"/>
  <c r="R25" i="7"/>
  <c r="J25" i="7"/>
  <c r="N16" i="7"/>
  <c r="O15" i="7" s="1"/>
  <c r="G23" i="7"/>
  <c r="E23" i="7"/>
  <c r="G19" i="7"/>
  <c r="D20" i="7"/>
  <c r="D19" i="7"/>
  <c r="A12" i="7"/>
  <c r="D12" i="7"/>
  <c r="B12" i="7"/>
  <c r="B13" i="7" s="1"/>
  <c r="L7" i="7"/>
  <c r="L5" i="7"/>
  <c r="L3" i="7"/>
  <c r="AP4" i="2"/>
  <c r="AQ4" i="2"/>
  <c r="B3" i="7"/>
  <c r="E4" i="7" s="1"/>
  <c r="B1" i="7"/>
  <c r="X5" i="2"/>
  <c r="AR4" i="2"/>
  <c r="AI37" i="2"/>
  <c r="AL37" i="2"/>
  <c r="R5" i="2"/>
  <c r="X8" i="2"/>
  <c r="S5" i="2"/>
  <c r="V8" i="2"/>
  <c r="AI14" i="2" s="1"/>
  <c r="W5" i="2"/>
  <c r="U5" i="2"/>
  <c r="T5" i="2"/>
  <c r="Z105" i="6"/>
  <c r="AA105" i="6" s="1"/>
  <c r="AA104" i="6"/>
  <c r="AA102" i="6"/>
  <c r="S35" i="2"/>
  <c r="J61" i="6"/>
  <c r="J109" i="6"/>
  <c r="J106" i="6"/>
  <c r="J100" i="6"/>
  <c r="J99" i="6"/>
  <c r="J95" i="6"/>
  <c r="J94" i="6"/>
  <c r="J93" i="6"/>
  <c r="J91" i="6"/>
  <c r="J71" i="6"/>
  <c r="J70" i="6"/>
  <c r="J67" i="6"/>
  <c r="J65" i="6"/>
  <c r="J58" i="6"/>
  <c r="J56" i="6"/>
  <c r="J55" i="6"/>
  <c r="J53" i="6"/>
  <c r="J51" i="6"/>
  <c r="J49" i="6"/>
  <c r="J48" i="6"/>
  <c r="J47" i="6"/>
  <c r="J43" i="6"/>
  <c r="J41" i="6"/>
  <c r="AE114" i="6"/>
  <c r="AH114" i="6" s="1"/>
  <c r="AE113" i="6"/>
  <c r="AH113" i="6" s="1"/>
  <c r="AE112" i="6"/>
  <c r="AE111" i="6"/>
  <c r="AH111" i="6" s="1"/>
  <c r="AE110" i="6"/>
  <c r="AE109" i="6"/>
  <c r="AH109" i="6" s="1"/>
  <c r="AE108" i="6"/>
  <c r="AE107" i="6"/>
  <c r="AE106" i="6"/>
  <c r="AE105" i="6"/>
  <c r="AE104" i="6"/>
  <c r="AE103" i="6"/>
  <c r="AH103" i="6" s="1"/>
  <c r="AE102" i="6"/>
  <c r="AE101" i="6"/>
  <c r="AH101" i="6" s="1"/>
  <c r="AE100" i="6"/>
  <c r="AE99" i="6"/>
  <c r="AH99" i="6" s="1"/>
  <c r="AE98" i="6"/>
  <c r="AH98" i="6" s="1"/>
  <c r="AE97" i="6"/>
  <c r="AE96" i="6"/>
  <c r="AE95" i="6"/>
  <c r="AH95" i="6" s="1"/>
  <c r="AE94" i="6"/>
  <c r="AE93" i="6"/>
  <c r="AH93" i="6" s="1"/>
  <c r="AE92" i="6"/>
  <c r="AE91" i="6"/>
  <c r="AH91" i="6" s="1"/>
  <c r="AE90" i="6"/>
  <c r="AE89" i="6"/>
  <c r="AE88" i="6"/>
  <c r="AE87" i="6"/>
  <c r="AE86" i="6"/>
  <c r="AE85" i="6"/>
  <c r="AE84" i="6"/>
  <c r="AE83" i="6"/>
  <c r="AE82" i="6"/>
  <c r="AE81" i="6"/>
  <c r="AE80" i="6"/>
  <c r="AE79" i="6"/>
  <c r="AH79" i="6" s="1"/>
  <c r="AE78" i="6"/>
  <c r="AE77" i="6"/>
  <c r="AE76" i="6"/>
  <c r="AE75" i="6"/>
  <c r="AH75" i="6" s="1"/>
  <c r="AE74" i="6"/>
  <c r="AH74" i="6" s="1"/>
  <c r="AE73" i="6"/>
  <c r="AE72" i="6"/>
  <c r="AE71" i="6"/>
  <c r="AH71" i="6" s="1"/>
  <c r="AE70" i="6"/>
  <c r="AE69" i="6"/>
  <c r="AE68" i="6"/>
  <c r="AE67" i="6"/>
  <c r="AH67" i="6" s="1"/>
  <c r="AE66" i="6"/>
  <c r="AE65" i="6"/>
  <c r="AH65" i="6" s="1"/>
  <c r="AE64" i="6"/>
  <c r="AE63" i="6"/>
  <c r="AE62" i="6"/>
  <c r="AE61" i="6"/>
  <c r="AE60" i="6"/>
  <c r="AE59" i="6"/>
  <c r="AE58" i="6"/>
  <c r="AE57" i="6"/>
  <c r="AE56" i="6"/>
  <c r="AE55" i="6"/>
  <c r="AH55" i="6" s="1"/>
  <c r="AE54" i="6"/>
  <c r="AE53" i="6"/>
  <c r="AH53" i="6" s="1"/>
  <c r="AE52" i="6"/>
  <c r="AE51" i="6"/>
  <c r="AH51" i="6" s="1"/>
  <c r="AE50" i="6"/>
  <c r="AE49" i="6"/>
  <c r="AE48" i="6"/>
  <c r="AE47" i="6"/>
  <c r="AE46" i="6"/>
  <c r="AE45" i="6"/>
  <c r="AE44" i="6"/>
  <c r="AE43" i="6"/>
  <c r="AH43" i="6" s="1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H27" i="6" s="1"/>
  <c r="AE26" i="6"/>
  <c r="AH26" i="6" s="1"/>
  <c r="AE25" i="6"/>
  <c r="AE24" i="6"/>
  <c r="AE23" i="6"/>
  <c r="AE22" i="6"/>
  <c r="AE21" i="6"/>
  <c r="AE20" i="6"/>
  <c r="AE19" i="6"/>
  <c r="AH19" i="6" s="1"/>
  <c r="AE18" i="6"/>
  <c r="AH18" i="6" s="1"/>
  <c r="AE17" i="6"/>
  <c r="AE16" i="6"/>
  <c r="AE15" i="6"/>
  <c r="AE14" i="6"/>
  <c r="AE13" i="6"/>
  <c r="AE12" i="6"/>
  <c r="AE11" i="6"/>
  <c r="AH11" i="6" s="1"/>
  <c r="AE10" i="6"/>
  <c r="AH10" i="6" s="1"/>
  <c r="AE9" i="6"/>
  <c r="AE8" i="6"/>
  <c r="AE7" i="6"/>
  <c r="AE6" i="6"/>
  <c r="AE5" i="6"/>
  <c r="AE4" i="6"/>
  <c r="AE3" i="6"/>
  <c r="AH3" i="6" s="1"/>
  <c r="C115" i="6"/>
  <c r="AD114" i="6"/>
  <c r="C114" i="6"/>
  <c r="U114" i="6" s="1"/>
  <c r="AD113" i="6"/>
  <c r="C113" i="6"/>
  <c r="U113" i="6" s="1"/>
  <c r="AH112" i="6"/>
  <c r="AD112" i="6"/>
  <c r="C112" i="6"/>
  <c r="U112" i="6" s="1"/>
  <c r="AD111" i="6"/>
  <c r="C111" i="6"/>
  <c r="U111" i="6" s="1"/>
  <c r="AH110" i="6"/>
  <c r="AD110" i="6"/>
  <c r="C110" i="6"/>
  <c r="U110" i="6" s="1"/>
  <c r="AD109" i="6"/>
  <c r="C109" i="6"/>
  <c r="U109" i="6" s="1"/>
  <c r="AH108" i="6"/>
  <c r="AD108" i="6"/>
  <c r="C108" i="6"/>
  <c r="U108" i="6" s="1"/>
  <c r="AH107" i="6"/>
  <c r="AD107" i="6"/>
  <c r="C107" i="6"/>
  <c r="U107" i="6" s="1"/>
  <c r="AH106" i="6"/>
  <c r="AD106" i="6"/>
  <c r="C106" i="6"/>
  <c r="U106" i="6" s="1"/>
  <c r="AH105" i="6"/>
  <c r="AD105" i="6"/>
  <c r="C105" i="6"/>
  <c r="U105" i="6" s="1"/>
  <c r="AH104" i="6"/>
  <c r="AD104" i="6"/>
  <c r="C104" i="6"/>
  <c r="U104" i="6" s="1"/>
  <c r="AD103" i="6"/>
  <c r="C103" i="6"/>
  <c r="U103" i="6" s="1"/>
  <c r="AH102" i="6"/>
  <c r="AD102" i="6"/>
  <c r="C102" i="6"/>
  <c r="U102" i="6" s="1"/>
  <c r="AD101" i="6"/>
  <c r="C101" i="6"/>
  <c r="U101" i="6" s="1"/>
  <c r="AH100" i="6"/>
  <c r="AD100" i="6"/>
  <c r="C100" i="6"/>
  <c r="U100" i="6" s="1"/>
  <c r="AD99" i="6"/>
  <c r="C99" i="6"/>
  <c r="U99" i="6" s="1"/>
  <c r="AD98" i="6"/>
  <c r="C98" i="6"/>
  <c r="U98" i="6" s="1"/>
  <c r="AH97" i="6"/>
  <c r="AD97" i="6"/>
  <c r="C97" i="6"/>
  <c r="U97" i="6" s="1"/>
  <c r="AH96" i="6"/>
  <c r="AD96" i="6"/>
  <c r="C96" i="6"/>
  <c r="U96" i="6" s="1"/>
  <c r="AD95" i="6"/>
  <c r="C95" i="6"/>
  <c r="U95" i="6" s="1"/>
  <c r="AH94" i="6"/>
  <c r="AD94" i="6"/>
  <c r="C94" i="6"/>
  <c r="U94" i="6" s="1"/>
  <c r="AD93" i="6"/>
  <c r="C93" i="6"/>
  <c r="U93" i="6" s="1"/>
  <c r="AH92" i="6"/>
  <c r="AD92" i="6"/>
  <c r="C92" i="6"/>
  <c r="U92" i="6" s="1"/>
  <c r="AD91" i="6"/>
  <c r="C91" i="6"/>
  <c r="U91" i="6" s="1"/>
  <c r="AH90" i="6"/>
  <c r="AD90" i="6"/>
  <c r="C90" i="6"/>
  <c r="U90" i="6" s="1"/>
  <c r="AH89" i="6"/>
  <c r="AD89" i="6"/>
  <c r="C89" i="6"/>
  <c r="U89" i="6" s="1"/>
  <c r="AH88" i="6"/>
  <c r="AD88" i="6"/>
  <c r="C88" i="6"/>
  <c r="U88" i="6" s="1"/>
  <c r="AH87" i="6"/>
  <c r="AD87" i="6"/>
  <c r="C87" i="6"/>
  <c r="U87" i="6" s="1"/>
  <c r="AH86" i="6"/>
  <c r="AD86" i="6"/>
  <c r="C86" i="6"/>
  <c r="U86" i="6" s="1"/>
  <c r="AH85" i="6"/>
  <c r="AD85" i="6"/>
  <c r="C85" i="6"/>
  <c r="U85" i="6" s="1"/>
  <c r="AH84" i="6"/>
  <c r="AD84" i="6"/>
  <c r="C84" i="6"/>
  <c r="U84" i="6" s="1"/>
  <c r="AH83" i="6"/>
  <c r="AD83" i="6"/>
  <c r="C83" i="6"/>
  <c r="U83" i="6" s="1"/>
  <c r="AH82" i="6"/>
  <c r="AD82" i="6"/>
  <c r="C82" i="6"/>
  <c r="U82" i="6" s="1"/>
  <c r="AH81" i="6"/>
  <c r="AD81" i="6"/>
  <c r="C81" i="6"/>
  <c r="U81" i="6" s="1"/>
  <c r="AH80" i="6"/>
  <c r="AD80" i="6"/>
  <c r="C80" i="6"/>
  <c r="U80" i="6" s="1"/>
  <c r="AD79" i="6"/>
  <c r="C79" i="6"/>
  <c r="U79" i="6" s="1"/>
  <c r="AH78" i="6"/>
  <c r="AD78" i="6"/>
  <c r="C78" i="6"/>
  <c r="U78" i="6" s="1"/>
  <c r="AH77" i="6"/>
  <c r="AD77" i="6"/>
  <c r="C77" i="6"/>
  <c r="U77" i="6" s="1"/>
  <c r="AH76" i="6"/>
  <c r="AD76" i="6"/>
  <c r="C76" i="6"/>
  <c r="U76" i="6" s="1"/>
  <c r="AD75" i="6"/>
  <c r="C75" i="6"/>
  <c r="U75" i="6" s="1"/>
  <c r="AD74" i="6"/>
  <c r="C74" i="6"/>
  <c r="U74" i="6" s="1"/>
  <c r="AH73" i="6"/>
  <c r="AD73" i="6"/>
  <c r="C73" i="6"/>
  <c r="U73" i="6" s="1"/>
  <c r="AH72" i="6"/>
  <c r="AD72" i="6"/>
  <c r="C72" i="6"/>
  <c r="U72" i="6" s="1"/>
  <c r="AD71" i="6"/>
  <c r="C71" i="6"/>
  <c r="U71" i="6" s="1"/>
  <c r="AH70" i="6"/>
  <c r="AD70" i="6"/>
  <c r="C70" i="6"/>
  <c r="U70" i="6" s="1"/>
  <c r="AH69" i="6"/>
  <c r="AD69" i="6"/>
  <c r="C69" i="6"/>
  <c r="U69" i="6" s="1"/>
  <c r="AH68" i="6"/>
  <c r="AD68" i="6"/>
  <c r="C68" i="6"/>
  <c r="U68" i="6" s="1"/>
  <c r="AD67" i="6"/>
  <c r="C67" i="6"/>
  <c r="U67" i="6" s="1"/>
  <c r="AH66" i="6"/>
  <c r="AD66" i="6"/>
  <c r="C66" i="6"/>
  <c r="U66" i="6" s="1"/>
  <c r="AD65" i="6"/>
  <c r="C65" i="6"/>
  <c r="U65" i="6" s="1"/>
  <c r="AH64" i="6"/>
  <c r="AD64" i="6"/>
  <c r="C64" i="6"/>
  <c r="U64" i="6" s="1"/>
  <c r="AH63" i="6"/>
  <c r="AD63" i="6"/>
  <c r="C63" i="6"/>
  <c r="U63" i="6" s="1"/>
  <c r="AH62" i="6"/>
  <c r="AD62" i="6"/>
  <c r="C62" i="6"/>
  <c r="U62" i="6" s="1"/>
  <c r="AH61" i="6"/>
  <c r="AD61" i="6"/>
  <c r="C61" i="6"/>
  <c r="U61" i="6" s="1"/>
  <c r="AH60" i="6"/>
  <c r="AD60" i="6"/>
  <c r="C60" i="6"/>
  <c r="U60" i="6" s="1"/>
  <c r="AH59" i="6"/>
  <c r="AD59" i="6"/>
  <c r="C59" i="6"/>
  <c r="U59" i="6" s="1"/>
  <c r="AH58" i="6"/>
  <c r="AD58" i="6"/>
  <c r="C58" i="6"/>
  <c r="U58" i="6" s="1"/>
  <c r="AH57" i="6"/>
  <c r="AD57" i="6"/>
  <c r="C57" i="6"/>
  <c r="U57" i="6" s="1"/>
  <c r="AH56" i="6"/>
  <c r="AD56" i="6"/>
  <c r="C56" i="6"/>
  <c r="U56" i="6" s="1"/>
  <c r="AD55" i="6"/>
  <c r="C55" i="6"/>
  <c r="U55" i="6" s="1"/>
  <c r="AH54" i="6"/>
  <c r="AD54" i="6"/>
  <c r="C54" i="6"/>
  <c r="U54" i="6" s="1"/>
  <c r="AD53" i="6"/>
  <c r="C53" i="6"/>
  <c r="U53" i="6" s="1"/>
  <c r="AH52" i="6"/>
  <c r="AD52" i="6"/>
  <c r="AD51" i="6"/>
  <c r="C51" i="6"/>
  <c r="U51" i="6" s="1"/>
  <c r="AH50" i="6"/>
  <c r="AD50" i="6"/>
  <c r="C50" i="6"/>
  <c r="U50" i="6" s="1"/>
  <c r="AH49" i="6"/>
  <c r="AD49" i="6"/>
  <c r="C49" i="6"/>
  <c r="U49" i="6" s="1"/>
  <c r="AH48" i="6"/>
  <c r="AD48" i="6"/>
  <c r="C48" i="6"/>
  <c r="U48" i="6" s="1"/>
  <c r="AH47" i="6"/>
  <c r="AD47" i="6"/>
  <c r="C47" i="6"/>
  <c r="U47" i="6" s="1"/>
  <c r="AH46" i="6"/>
  <c r="AD46" i="6"/>
  <c r="C46" i="6"/>
  <c r="U46" i="6" s="1"/>
  <c r="AH45" i="6"/>
  <c r="AD45" i="6"/>
  <c r="C45" i="6"/>
  <c r="U45" i="6" s="1"/>
  <c r="AH44" i="6"/>
  <c r="AD44" i="6"/>
  <c r="C44" i="6"/>
  <c r="U44" i="6" s="1"/>
  <c r="AD43" i="6"/>
  <c r="C43" i="6"/>
  <c r="U43" i="6" s="1"/>
  <c r="AH42" i="6"/>
  <c r="AD42" i="6"/>
  <c r="C42" i="6"/>
  <c r="U42" i="6" s="1"/>
  <c r="AH41" i="6"/>
  <c r="AD41" i="6"/>
  <c r="C41" i="6"/>
  <c r="U41" i="6" s="1"/>
  <c r="AH40" i="6"/>
  <c r="AD40" i="6"/>
  <c r="C40" i="6"/>
  <c r="U40" i="6" s="1"/>
  <c r="AH39" i="6"/>
  <c r="AD39" i="6"/>
  <c r="C39" i="6"/>
  <c r="U39" i="6" s="1"/>
  <c r="AH38" i="6"/>
  <c r="AD38" i="6"/>
  <c r="C38" i="6"/>
  <c r="U38" i="6" s="1"/>
  <c r="AH37" i="6"/>
  <c r="AD37" i="6"/>
  <c r="C37" i="6"/>
  <c r="U37" i="6" s="1"/>
  <c r="AH36" i="6"/>
  <c r="AD36" i="6"/>
  <c r="C36" i="6"/>
  <c r="U36" i="6" s="1"/>
  <c r="AH35" i="6"/>
  <c r="AD35" i="6"/>
  <c r="C35" i="6"/>
  <c r="U35" i="6" s="1"/>
  <c r="AH34" i="6"/>
  <c r="AD34" i="6"/>
  <c r="C34" i="6"/>
  <c r="U34" i="6" s="1"/>
  <c r="AH33" i="6"/>
  <c r="AD33" i="6"/>
  <c r="C33" i="6"/>
  <c r="U33" i="6" s="1"/>
  <c r="AH32" i="6"/>
  <c r="AD32" i="6"/>
  <c r="C32" i="6"/>
  <c r="U32" i="6" s="1"/>
  <c r="AH31" i="6"/>
  <c r="AD31" i="6"/>
  <c r="C31" i="6"/>
  <c r="U31" i="6" s="1"/>
  <c r="AH30" i="6"/>
  <c r="AD30" i="6"/>
  <c r="C30" i="6"/>
  <c r="U30" i="6" s="1"/>
  <c r="AH29" i="6"/>
  <c r="AD29" i="6"/>
  <c r="C29" i="6"/>
  <c r="U29" i="6" s="1"/>
  <c r="AH28" i="6"/>
  <c r="AD28" i="6"/>
  <c r="C28" i="6"/>
  <c r="U28" i="6" s="1"/>
  <c r="AD27" i="6"/>
  <c r="C27" i="6"/>
  <c r="U27" i="6" s="1"/>
  <c r="AD26" i="6"/>
  <c r="C26" i="6"/>
  <c r="U26" i="6" s="1"/>
  <c r="AH25" i="6"/>
  <c r="AD25" i="6"/>
  <c r="C25" i="6"/>
  <c r="U25" i="6" s="1"/>
  <c r="AH24" i="6"/>
  <c r="AD24" i="6"/>
  <c r="C24" i="6"/>
  <c r="U24" i="6" s="1"/>
  <c r="AH23" i="6"/>
  <c r="AD23" i="6"/>
  <c r="C23" i="6"/>
  <c r="U23" i="6" s="1"/>
  <c r="AH22" i="6"/>
  <c r="AD22" i="6"/>
  <c r="C22" i="6"/>
  <c r="U22" i="6" s="1"/>
  <c r="AH21" i="6"/>
  <c r="AD21" i="6"/>
  <c r="C21" i="6"/>
  <c r="U21" i="6" s="1"/>
  <c r="AH20" i="6"/>
  <c r="AD20" i="6"/>
  <c r="C20" i="6"/>
  <c r="U20" i="6" s="1"/>
  <c r="AD19" i="6"/>
  <c r="C19" i="6"/>
  <c r="U19" i="6" s="1"/>
  <c r="AD18" i="6"/>
  <c r="C18" i="6"/>
  <c r="U18" i="6" s="1"/>
  <c r="AH17" i="6"/>
  <c r="AD17" i="6"/>
  <c r="C17" i="6"/>
  <c r="U17" i="6" s="1"/>
  <c r="AH16" i="6"/>
  <c r="AD16" i="6"/>
  <c r="C16" i="6"/>
  <c r="U16" i="6" s="1"/>
  <c r="AH15" i="6"/>
  <c r="AD15" i="6"/>
  <c r="C15" i="6"/>
  <c r="U15" i="6" s="1"/>
  <c r="AH14" i="6"/>
  <c r="AD14" i="6"/>
  <c r="C14" i="6"/>
  <c r="U14" i="6" s="1"/>
  <c r="AH13" i="6"/>
  <c r="AD13" i="6"/>
  <c r="C13" i="6"/>
  <c r="U13" i="6" s="1"/>
  <c r="AH12" i="6"/>
  <c r="AD12" i="6"/>
  <c r="C12" i="6"/>
  <c r="U12" i="6" s="1"/>
  <c r="AD11" i="6"/>
  <c r="C11" i="6"/>
  <c r="U11" i="6" s="1"/>
  <c r="AD10" i="6"/>
  <c r="C10" i="6"/>
  <c r="U10" i="6" s="1"/>
  <c r="AH9" i="6"/>
  <c r="AD9" i="6"/>
  <c r="C9" i="6"/>
  <c r="U9" i="6" s="1"/>
  <c r="AH8" i="6"/>
  <c r="AD8" i="6"/>
  <c r="C8" i="6"/>
  <c r="U8" i="6" s="1"/>
  <c r="AH7" i="6"/>
  <c r="AD7" i="6"/>
  <c r="C7" i="6"/>
  <c r="U7" i="6" s="1"/>
  <c r="AH6" i="6"/>
  <c r="AD6" i="6"/>
  <c r="C6" i="6"/>
  <c r="U6" i="6" s="1"/>
  <c r="AH5" i="6"/>
  <c r="AD5" i="6"/>
  <c r="C5" i="6"/>
  <c r="U5" i="6" s="1"/>
  <c r="AH4" i="6"/>
  <c r="AD4" i="6"/>
  <c r="C4" i="6"/>
  <c r="U4" i="6" s="1"/>
  <c r="AG3" i="6"/>
  <c r="AD3" i="6"/>
  <c r="C3" i="6"/>
  <c r="U3" i="6"/>
  <c r="Q5" i="2"/>
  <c r="AH21" i="2"/>
  <c r="AH20" i="2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AF109" i="1"/>
  <c r="AF108" i="1"/>
  <c r="AF101" i="1"/>
  <c r="AC96" i="1"/>
  <c r="AF96" i="1" s="1"/>
  <c r="AF73" i="1"/>
  <c r="AF70" i="1"/>
  <c r="AC69" i="1"/>
  <c r="AF69" i="1" s="1"/>
  <c r="AF68" i="1"/>
  <c r="AF66" i="1"/>
  <c r="AC65" i="1"/>
  <c r="AF65" i="1" s="1"/>
  <c r="AF61" i="1"/>
  <c r="AF58" i="1"/>
  <c r="AF56" i="1"/>
  <c r="AF53" i="1"/>
  <c r="AF51" i="1"/>
  <c r="AF49" i="1"/>
  <c r="AF43" i="1"/>
  <c r="AF41" i="1"/>
  <c r="AC37" i="1"/>
  <c r="AF37" i="1" s="1"/>
  <c r="AC24" i="1"/>
  <c r="AF24" i="1" s="1"/>
  <c r="AF17" i="1"/>
  <c r="AC115" i="1"/>
  <c r="AF115" i="1" s="1"/>
  <c r="AC114" i="1"/>
  <c r="AF114" i="1" s="1"/>
  <c r="AC113" i="1"/>
  <c r="AF113" i="1" s="1"/>
  <c r="AC112" i="1"/>
  <c r="AF112" i="1" s="1"/>
  <c r="AC111" i="1"/>
  <c r="AF111" i="1" s="1"/>
  <c r="AC110" i="1"/>
  <c r="AF110" i="1" s="1"/>
  <c r="AC109" i="1"/>
  <c r="AC108" i="1"/>
  <c r="AC107" i="1"/>
  <c r="AF107" i="1" s="1"/>
  <c r="AC106" i="1"/>
  <c r="AF106" i="1" s="1"/>
  <c r="AC105" i="1"/>
  <c r="AF105" i="1" s="1"/>
  <c r="AC104" i="1"/>
  <c r="AF104" i="1" s="1"/>
  <c r="AC103" i="1"/>
  <c r="AF103" i="1" s="1"/>
  <c r="AC102" i="1"/>
  <c r="AF102" i="1" s="1"/>
  <c r="AC101" i="1"/>
  <c r="AC100" i="1"/>
  <c r="AF100" i="1" s="1"/>
  <c r="AC99" i="1"/>
  <c r="AF99" i="1" s="1"/>
  <c r="AC98" i="1"/>
  <c r="AF98" i="1" s="1"/>
  <c r="AC97" i="1"/>
  <c r="AF97" i="1" s="1"/>
  <c r="AC95" i="1"/>
  <c r="AF95" i="1"/>
  <c r="AC94" i="1"/>
  <c r="AF94" i="1" s="1"/>
  <c r="AC93" i="1"/>
  <c r="AF93" i="1" s="1"/>
  <c r="AC92" i="1"/>
  <c r="AF92" i="1" s="1"/>
  <c r="AC91" i="1"/>
  <c r="AF91" i="1" s="1"/>
  <c r="AC90" i="1"/>
  <c r="AF90" i="1"/>
  <c r="AC89" i="1"/>
  <c r="AF89" i="1" s="1"/>
  <c r="AC88" i="1"/>
  <c r="AF88" i="1" s="1"/>
  <c r="AC87" i="1"/>
  <c r="AF87" i="1" s="1"/>
  <c r="AC86" i="1"/>
  <c r="AF86" i="1" s="1"/>
  <c r="AC85" i="1"/>
  <c r="AF85" i="1" s="1"/>
  <c r="AC84" i="1"/>
  <c r="AF84" i="1" s="1"/>
  <c r="AC83" i="1"/>
  <c r="AF83" i="1" s="1"/>
  <c r="AC82" i="1"/>
  <c r="AF82" i="1" s="1"/>
  <c r="AC81" i="1"/>
  <c r="AF81" i="1" s="1"/>
  <c r="AC80" i="1"/>
  <c r="AF80" i="1" s="1"/>
  <c r="AC79" i="1"/>
  <c r="AF79" i="1"/>
  <c r="AC78" i="1"/>
  <c r="AF78" i="1" s="1"/>
  <c r="AC77" i="1"/>
  <c r="AF77" i="1" s="1"/>
  <c r="AC76" i="1"/>
  <c r="AF76" i="1" s="1"/>
  <c r="AC75" i="1"/>
  <c r="AF75" i="1" s="1"/>
  <c r="AC74" i="1"/>
  <c r="AF74" i="1"/>
  <c r="AC73" i="1"/>
  <c r="AC72" i="1"/>
  <c r="AF72" i="1" s="1"/>
  <c r="AC71" i="1"/>
  <c r="AF71" i="1" s="1"/>
  <c r="AC70" i="1"/>
  <c r="AC68" i="1"/>
  <c r="AC67" i="1"/>
  <c r="AF67" i="1"/>
  <c r="AC66" i="1"/>
  <c r="AC64" i="1"/>
  <c r="AF64" i="1" s="1"/>
  <c r="AC63" i="1"/>
  <c r="AF63" i="1"/>
  <c r="AC62" i="1"/>
  <c r="AF62" i="1" s="1"/>
  <c r="AC61" i="1"/>
  <c r="AC60" i="1"/>
  <c r="AF60" i="1" s="1"/>
  <c r="AC59" i="1"/>
  <c r="AF59" i="1" s="1"/>
  <c r="AC58" i="1"/>
  <c r="AC57" i="1"/>
  <c r="AF57" i="1" s="1"/>
  <c r="AC56" i="1"/>
  <c r="AC55" i="1"/>
  <c r="AF55" i="1" s="1"/>
  <c r="AC54" i="1"/>
  <c r="AF54" i="1"/>
  <c r="AC53" i="1"/>
  <c r="AC52" i="1"/>
  <c r="AF52" i="1" s="1"/>
  <c r="AC51" i="1"/>
  <c r="AC50" i="1"/>
  <c r="AF50" i="1" s="1"/>
  <c r="AC49" i="1"/>
  <c r="AC48" i="1"/>
  <c r="AF48" i="1" s="1"/>
  <c r="AC47" i="1"/>
  <c r="AF47" i="1" s="1"/>
  <c r="AC46" i="1"/>
  <c r="AF46" i="1" s="1"/>
  <c r="AC45" i="1"/>
  <c r="AF45" i="1" s="1"/>
  <c r="AC44" i="1"/>
  <c r="AF44" i="1" s="1"/>
  <c r="AC43" i="1"/>
  <c r="AC42" i="1"/>
  <c r="AF42" i="1" s="1"/>
  <c r="AC41" i="1"/>
  <c r="AC40" i="1"/>
  <c r="AF40" i="1" s="1"/>
  <c r="AC39" i="1"/>
  <c r="AF39" i="1" s="1"/>
  <c r="AC38" i="1"/>
  <c r="AF38" i="1" s="1"/>
  <c r="AC36" i="1"/>
  <c r="AF36" i="1" s="1"/>
  <c r="AC35" i="1"/>
  <c r="AF35" i="1" s="1"/>
  <c r="AC34" i="1"/>
  <c r="AF34" i="1"/>
  <c r="AC33" i="1"/>
  <c r="AF33" i="1" s="1"/>
  <c r="AC32" i="1"/>
  <c r="AF32" i="1" s="1"/>
  <c r="AC31" i="1"/>
  <c r="AF31" i="1" s="1"/>
  <c r="AC30" i="1"/>
  <c r="AF30" i="1" s="1"/>
  <c r="AC29" i="1"/>
  <c r="AF29" i="1" s="1"/>
  <c r="AC28" i="1"/>
  <c r="AF28" i="1" s="1"/>
  <c r="AC27" i="1"/>
  <c r="AF27" i="1" s="1"/>
  <c r="AC26" i="1"/>
  <c r="AF26" i="1" s="1"/>
  <c r="AC25" i="1"/>
  <c r="AF25" i="1" s="1"/>
  <c r="AC23" i="1"/>
  <c r="AF23" i="1" s="1"/>
  <c r="AC22" i="1"/>
  <c r="AF22" i="1"/>
  <c r="AC21" i="1"/>
  <c r="AF21" i="1" s="1"/>
  <c r="AC20" i="1"/>
  <c r="AF20" i="1" s="1"/>
  <c r="AC19" i="1"/>
  <c r="AF19" i="1" s="1"/>
  <c r="AC18" i="1"/>
  <c r="AF18" i="1" s="1"/>
  <c r="AC17" i="1"/>
  <c r="AC16" i="1"/>
  <c r="AF16" i="1" s="1"/>
  <c r="AC15" i="1"/>
  <c r="AF15" i="1" s="1"/>
  <c r="AC14" i="1"/>
  <c r="AF14" i="1" s="1"/>
  <c r="AC13" i="1"/>
  <c r="AF13" i="1" s="1"/>
  <c r="AC12" i="1"/>
  <c r="AF12" i="1" s="1"/>
  <c r="AC11" i="1"/>
  <c r="AF11" i="1" s="1"/>
  <c r="AC10" i="1"/>
  <c r="AF10" i="1"/>
  <c r="AC9" i="1"/>
  <c r="AF9" i="1" s="1"/>
  <c r="AC8" i="1"/>
  <c r="AF8" i="1" s="1"/>
  <c r="AC7" i="1"/>
  <c r="AF7" i="1" s="1"/>
  <c r="AC6" i="1"/>
  <c r="AF6" i="1" s="1"/>
  <c r="AC5" i="1"/>
  <c r="AF5" i="1" s="1"/>
  <c r="AC4" i="1"/>
  <c r="AF4" i="1" s="1"/>
  <c r="AC3" i="1"/>
  <c r="AF3" i="1" s="1"/>
  <c r="AC2" i="1"/>
  <c r="AF2" i="1" s="1"/>
  <c r="J30" i="3"/>
  <c r="AD16" i="4"/>
  <c r="AC16" i="4"/>
  <c r="AB16" i="4"/>
  <c r="AA16" i="4"/>
  <c r="AB9" i="4"/>
  <c r="AH8" i="4"/>
  <c r="AK3" i="4"/>
  <c r="AJ3" i="4"/>
  <c r="AI3" i="4"/>
  <c r="AH3" i="4"/>
  <c r="B3" i="4"/>
  <c r="AR8" i="3"/>
  <c r="AQ8" i="3"/>
  <c r="AR7" i="3"/>
  <c r="AQ7" i="3"/>
  <c r="AR6" i="3"/>
  <c r="AQ6" i="3"/>
  <c r="AR5" i="3"/>
  <c r="AQ5" i="3"/>
  <c r="AR4" i="3"/>
  <c r="AQ4" i="3"/>
  <c r="AR3" i="3"/>
  <c r="AQ3" i="3"/>
  <c r="AT3" i="3"/>
  <c r="AS3" i="3"/>
  <c r="A4" i="3"/>
  <c r="A5" i="3"/>
  <c r="A6" i="3" s="1"/>
  <c r="A7" i="3"/>
  <c r="A8" i="3"/>
  <c r="AN8" i="3"/>
  <c r="AM8" i="3"/>
  <c r="AL8" i="3"/>
  <c r="AK8" i="3"/>
  <c r="AA8" i="3"/>
  <c r="AB8" i="3" s="1"/>
  <c r="C8" i="3"/>
  <c r="AN7" i="3"/>
  <c r="AM7" i="3"/>
  <c r="AL7" i="3"/>
  <c r="AK7" i="3"/>
  <c r="C7" i="3"/>
  <c r="AN6" i="3"/>
  <c r="AM6" i="3"/>
  <c r="AL6" i="3"/>
  <c r="AK6" i="3"/>
  <c r="C6" i="3"/>
  <c r="AN5" i="3"/>
  <c r="AM5" i="3"/>
  <c r="AL5" i="3"/>
  <c r="AK5" i="3"/>
  <c r="AN4" i="3"/>
  <c r="AM4" i="3"/>
  <c r="AL4" i="3"/>
  <c r="AK4" i="3"/>
  <c r="AN3" i="3"/>
  <c r="AM3" i="3"/>
  <c r="AL3" i="3"/>
  <c r="AK3" i="3"/>
  <c r="B4" i="2"/>
  <c r="C5" i="3"/>
  <c r="C4" i="3"/>
  <c r="AG21" i="3"/>
  <c r="AF21" i="3"/>
  <c r="AE21" i="3"/>
  <c r="C3" i="3"/>
  <c r="AC14" i="3"/>
  <c r="AE14" i="3"/>
  <c r="C101" i="1"/>
  <c r="S101" i="1" s="1"/>
  <c r="C116" i="1"/>
  <c r="C115" i="1"/>
  <c r="S115" i="1"/>
  <c r="AK13" i="3"/>
  <c r="C114" i="1"/>
  <c r="S114" i="1" s="1"/>
  <c r="C113" i="1"/>
  <c r="S113" i="1" s="1"/>
  <c r="C112" i="1"/>
  <c r="S112" i="1" s="1"/>
  <c r="C111" i="1"/>
  <c r="S111" i="1" s="1"/>
  <c r="C110" i="1"/>
  <c r="S110" i="1" s="1"/>
  <c r="C109" i="1"/>
  <c r="S109" i="1" s="1"/>
  <c r="C108" i="1"/>
  <c r="S108" i="1" s="1"/>
  <c r="C107" i="1"/>
  <c r="S107" i="1" s="1"/>
  <c r="C106" i="1"/>
  <c r="S106" i="1" s="1"/>
  <c r="C105" i="1"/>
  <c r="S105" i="1" s="1"/>
  <c r="C104" i="1"/>
  <c r="S104" i="1" s="1"/>
  <c r="C103" i="1"/>
  <c r="S103" i="1" s="1"/>
  <c r="C102" i="1"/>
  <c r="S102" i="1" s="1"/>
  <c r="C100" i="1"/>
  <c r="S100" i="1" s="1"/>
  <c r="C99" i="1"/>
  <c r="S99" i="1" s="1"/>
  <c r="C98" i="1"/>
  <c r="S98" i="1" s="1"/>
  <c r="C97" i="1"/>
  <c r="S97" i="1" s="1"/>
  <c r="C96" i="1"/>
  <c r="S96" i="1" s="1"/>
  <c r="C95" i="1"/>
  <c r="S95" i="1" s="1"/>
  <c r="C94" i="1"/>
  <c r="S94" i="1" s="1"/>
  <c r="C93" i="1"/>
  <c r="S93" i="1" s="1"/>
  <c r="C92" i="1"/>
  <c r="S92" i="1" s="1"/>
  <c r="C91" i="1"/>
  <c r="S91" i="1"/>
  <c r="C90" i="1"/>
  <c r="S90" i="1" s="1"/>
  <c r="C89" i="1"/>
  <c r="S89" i="1" s="1"/>
  <c r="C88" i="1"/>
  <c r="S88" i="1" s="1"/>
  <c r="C87" i="1"/>
  <c r="S87" i="1"/>
  <c r="C86" i="1"/>
  <c r="S86" i="1" s="1"/>
  <c r="C85" i="1"/>
  <c r="S85" i="1" s="1"/>
  <c r="C84" i="1"/>
  <c r="S84" i="1" s="1"/>
  <c r="C83" i="1"/>
  <c r="S83" i="1"/>
  <c r="C82" i="1"/>
  <c r="S82" i="1" s="1"/>
  <c r="C81" i="1"/>
  <c r="S81" i="1" s="1"/>
  <c r="C80" i="1"/>
  <c r="S80" i="1" s="1"/>
  <c r="C79" i="1"/>
  <c r="S79" i="1"/>
  <c r="C78" i="1"/>
  <c r="S78" i="1" s="1"/>
  <c r="C77" i="1"/>
  <c r="S77" i="1" s="1"/>
  <c r="C76" i="1"/>
  <c r="S76" i="1" s="1"/>
  <c r="C75" i="1"/>
  <c r="S75" i="1"/>
  <c r="C74" i="1"/>
  <c r="S74" i="1" s="1"/>
  <c r="C73" i="1"/>
  <c r="S73" i="1" s="1"/>
  <c r="C72" i="1"/>
  <c r="S72" i="1" s="1"/>
  <c r="C71" i="1"/>
  <c r="S71" i="1"/>
  <c r="C70" i="1"/>
  <c r="S70" i="1" s="1"/>
  <c r="C69" i="1"/>
  <c r="S69" i="1" s="1"/>
  <c r="C68" i="1"/>
  <c r="S68" i="1" s="1"/>
  <c r="C67" i="1"/>
  <c r="S67" i="1"/>
  <c r="C66" i="1"/>
  <c r="S66" i="1" s="1"/>
  <c r="C65" i="1"/>
  <c r="S65" i="1" s="1"/>
  <c r="C64" i="1"/>
  <c r="S64" i="1" s="1"/>
  <c r="C63" i="1"/>
  <c r="S63" i="1"/>
  <c r="C62" i="1"/>
  <c r="S62" i="1" s="1"/>
  <c r="C61" i="1"/>
  <c r="S61" i="1" s="1"/>
  <c r="C60" i="1"/>
  <c r="S60" i="1" s="1"/>
  <c r="C59" i="1"/>
  <c r="S59" i="1"/>
  <c r="C58" i="1"/>
  <c r="S58" i="1" s="1"/>
  <c r="C57" i="1"/>
  <c r="S57" i="1" s="1"/>
  <c r="C56" i="1"/>
  <c r="S56" i="1" s="1"/>
  <c r="C55" i="1"/>
  <c r="S55" i="1"/>
  <c r="C53" i="1"/>
  <c r="S53" i="1" s="1"/>
  <c r="C54" i="1"/>
  <c r="S54" i="1" s="1"/>
  <c r="AA7" i="3"/>
  <c r="AB7" i="3" s="1"/>
  <c r="AD14" i="3"/>
  <c r="AP11" i="2"/>
  <c r="C52" i="1"/>
  <c r="S52" i="1" s="1"/>
  <c r="C50" i="1"/>
  <c r="S50" i="1" s="1"/>
  <c r="C49" i="1"/>
  <c r="S49" i="1" s="1"/>
  <c r="C48" i="1"/>
  <c r="S48" i="1" s="1"/>
  <c r="C47" i="1"/>
  <c r="S47" i="1" s="1"/>
  <c r="C46" i="1"/>
  <c r="S46" i="1" s="1"/>
  <c r="C45" i="1"/>
  <c r="S45" i="1" s="1"/>
  <c r="C44" i="1"/>
  <c r="S44" i="1" s="1"/>
  <c r="C43" i="1"/>
  <c r="S43" i="1" s="1"/>
  <c r="C42" i="1"/>
  <c r="S42" i="1" s="1"/>
  <c r="C41" i="1"/>
  <c r="S41" i="1" s="1"/>
  <c r="C40" i="1"/>
  <c r="S40" i="1" s="1"/>
  <c r="C27" i="1"/>
  <c r="S27" i="1" s="1"/>
  <c r="C26" i="1"/>
  <c r="S26" i="1" s="1"/>
  <c r="C39" i="1"/>
  <c r="S39" i="1" s="1"/>
  <c r="C38" i="1"/>
  <c r="S38" i="1" s="1"/>
  <c r="C37" i="1"/>
  <c r="S37" i="1" s="1"/>
  <c r="C36" i="1"/>
  <c r="S36" i="1" s="1"/>
  <c r="C35" i="1"/>
  <c r="S35" i="1" s="1"/>
  <c r="C34" i="1"/>
  <c r="S34" i="1" s="1"/>
  <c r="C33" i="1"/>
  <c r="S33" i="1" s="1"/>
  <c r="C32" i="1"/>
  <c r="S32" i="1" s="1"/>
  <c r="C31" i="1"/>
  <c r="S31" i="1" s="1"/>
  <c r="C30" i="1"/>
  <c r="S30" i="1" s="1"/>
  <c r="C29" i="1"/>
  <c r="S29" i="1" s="1"/>
  <c r="C28" i="1"/>
  <c r="S28" i="1" s="1"/>
  <c r="C25" i="1"/>
  <c r="S25" i="1" s="1"/>
  <c r="C24" i="1"/>
  <c r="S24" i="1" s="1"/>
  <c r="C23" i="1"/>
  <c r="S23" i="1" s="1"/>
  <c r="C22" i="1"/>
  <c r="S22" i="1" s="1"/>
  <c r="C21" i="1"/>
  <c r="S21" i="1" s="1"/>
  <c r="C20" i="1"/>
  <c r="AA3" i="3" s="1"/>
  <c r="C19" i="1"/>
  <c r="S19" i="1" s="1"/>
  <c r="C18" i="1"/>
  <c r="S18" i="1" s="1"/>
  <c r="C17" i="1"/>
  <c r="S17" i="1" s="1"/>
  <c r="C16" i="1"/>
  <c r="S16" i="1" s="1"/>
  <c r="C15" i="1"/>
  <c r="S15" i="1" s="1"/>
  <c r="C14" i="1"/>
  <c r="S14" i="1" s="1"/>
  <c r="C13" i="1"/>
  <c r="S13" i="1" s="1"/>
  <c r="C12" i="1"/>
  <c r="S12" i="1" s="1"/>
  <c r="C11" i="1"/>
  <c r="S11" i="1" s="1"/>
  <c r="C10" i="1"/>
  <c r="S10" i="1" s="1"/>
  <c r="C9" i="1"/>
  <c r="S9" i="1" s="1"/>
  <c r="C8" i="1"/>
  <c r="S8" i="1" s="1"/>
  <c r="C7" i="1"/>
  <c r="S7" i="1"/>
  <c r="X3" i="4"/>
  <c r="C6" i="1"/>
  <c r="S6" i="1" s="1"/>
  <c r="C5" i="1"/>
  <c r="S5" i="1" s="1"/>
  <c r="C4" i="1"/>
  <c r="S4" i="1" s="1"/>
  <c r="C3" i="1"/>
  <c r="S3" i="1" s="1"/>
  <c r="C2" i="1"/>
  <c r="AF4" i="2" s="1"/>
  <c r="S2" i="1"/>
  <c r="AE2" i="1"/>
  <c r="AS4" i="2"/>
  <c r="E7" i="2"/>
  <c r="Q15" i="6"/>
  <c r="E7" i="3"/>
  <c r="AD3" i="4"/>
  <c r="AP7" i="3"/>
  <c r="AJ7" i="3"/>
  <c r="O14" i="1"/>
  <c r="Z4" i="4"/>
  <c r="D3" i="4"/>
  <c r="AI7" i="3"/>
  <c r="AH4" i="2"/>
  <c r="AE3" i="4"/>
  <c r="AE7" i="3" l="1"/>
  <c r="AG8" i="3"/>
  <c r="AA106" i="6"/>
  <c r="AC7" i="3"/>
  <c r="AB3" i="3"/>
  <c r="AG4" i="2"/>
  <c r="AA5" i="3"/>
  <c r="AA4" i="3"/>
  <c r="AE8" i="3"/>
  <c r="AC8" i="3"/>
  <c r="E7" i="7"/>
  <c r="E3" i="7"/>
  <c r="E6" i="7"/>
  <c r="E2" i="7"/>
  <c r="E5" i="7"/>
  <c r="E1" i="7"/>
  <c r="Y3" i="4"/>
  <c r="S20" i="1"/>
  <c r="AA6" i="3"/>
  <c r="AG7" i="3"/>
  <c r="E21" i="3"/>
  <c r="AD21" i="3" s="1"/>
  <c r="E8" i="7"/>
  <c r="AO7" i="2"/>
  <c r="AI8" i="2"/>
  <c r="I5" i="4"/>
  <c r="AF7" i="3"/>
  <c r="D5" i="4"/>
  <c r="D4" i="4"/>
  <c r="M7" i="3"/>
  <c r="AH7" i="3"/>
  <c r="AP8" i="3"/>
  <c r="AC3" i="3"/>
  <c r="E4" i="4"/>
  <c r="G4" i="4"/>
  <c r="AG3" i="4"/>
  <c r="AM4" i="2"/>
  <c r="AH5" i="2"/>
  <c r="G5" i="2"/>
  <c r="AI8" i="3"/>
  <c r="AD3" i="3"/>
  <c r="AD7" i="3"/>
  <c r="AF3" i="4"/>
  <c r="AU4" i="2"/>
  <c r="AA3" i="4"/>
  <c r="E5" i="4"/>
  <c r="E8" i="3"/>
  <c r="AJ4" i="2"/>
  <c r="AF5" i="2"/>
  <c r="E3" i="3"/>
  <c r="D4" i="2"/>
  <c r="AG3" i="3"/>
  <c r="AJ8" i="3"/>
  <c r="AC9" i="3"/>
  <c r="AI4" i="2"/>
  <c r="AN4" i="2"/>
  <c r="E5" i="2"/>
  <c r="AH8" i="3"/>
  <c r="AL4" i="2"/>
  <c r="AB3" i="4"/>
  <c r="AD8" i="3"/>
  <c r="AI3" i="3"/>
  <c r="AJ3" i="3"/>
  <c r="AH3" i="3"/>
  <c r="AE3" i="3"/>
  <c r="AP3" i="3"/>
  <c r="AO4" i="2"/>
  <c r="Z3" i="4"/>
  <c r="AM3" i="4"/>
  <c r="M8" i="3" l="1"/>
  <c r="AF8" i="3"/>
  <c r="AK4" i="2"/>
  <c r="G7" i="2" s="1"/>
  <c r="AI17" i="2" s="1"/>
  <c r="AC3" i="4"/>
  <c r="G5" i="4" s="1"/>
  <c r="AA9" i="4" s="1"/>
  <c r="D7" i="2"/>
  <c r="D6" i="2"/>
  <c r="D5" i="2"/>
  <c r="E6" i="4"/>
  <c r="Z9" i="4" s="1"/>
  <c r="AF3" i="3"/>
  <c r="M3" i="3" s="1"/>
  <c r="I7" i="2"/>
  <c r="AJ17" i="2" s="1"/>
  <c r="E9" i="2"/>
  <c r="AH17" i="2" s="1"/>
  <c r="AB6" i="3"/>
  <c r="AB4" i="3"/>
  <c r="AB5" i="3"/>
  <c r="AE4" i="3"/>
  <c r="AI4" i="3"/>
  <c r="AP6" i="3"/>
  <c r="AP4" i="3"/>
  <c r="AG5" i="3"/>
  <c r="AJ5" i="3"/>
  <c r="E6" i="3"/>
  <c r="AE5" i="3"/>
  <c r="AI5" i="3"/>
  <c r="AD4" i="3"/>
  <c r="E5" i="3"/>
  <c r="AC6" i="3"/>
  <c r="AH4" i="3"/>
  <c r="AE6" i="3"/>
  <c r="E4" i="3"/>
  <c r="AJ6" i="3"/>
  <c r="AH5" i="3"/>
  <c r="AP5" i="3"/>
  <c r="AG4" i="3"/>
  <c r="AJ4" i="3"/>
  <c r="AH6" i="3"/>
  <c r="AC4" i="3"/>
  <c r="AG6" i="3"/>
  <c r="AI6" i="3"/>
  <c r="AD6" i="3"/>
  <c r="AC5" i="3"/>
  <c r="AD5" i="3"/>
  <c r="J3" i="4" l="1"/>
  <c r="C16" i="4" s="1"/>
  <c r="E20" i="4" s="1"/>
  <c r="AI7" i="2"/>
  <c r="AF4" i="3"/>
  <c r="M4" i="3" s="1"/>
  <c r="M5" i="3"/>
  <c r="AF5" i="3"/>
  <c r="AF6" i="3"/>
  <c r="M6" i="3" s="1"/>
  <c r="AI9" i="2" l="1"/>
  <c r="P4" i="2" s="1"/>
  <c r="AN15" i="2"/>
  <c r="F20" i="2"/>
  <c r="C11" i="4"/>
  <c r="AI12" i="2"/>
  <c r="AI15" i="2"/>
  <c r="AI16" i="2"/>
  <c r="AJ16" i="2" s="1"/>
  <c r="C20" i="2"/>
  <c r="M9" i="3"/>
  <c r="D21" i="3" s="1"/>
  <c r="F25" i="3" s="1"/>
  <c r="AN13" i="2" l="1"/>
  <c r="F21" i="2"/>
  <c r="C21" i="2"/>
  <c r="R20" i="2"/>
  <c r="AI10" i="2"/>
  <c r="AK16" i="2"/>
  <c r="AK15" i="2"/>
  <c r="AK14" i="2"/>
  <c r="AK13" i="2"/>
  <c r="AJ13" i="2"/>
  <c r="AJ14" i="2"/>
  <c r="AJ15" i="2"/>
  <c r="AJ12" i="2"/>
  <c r="AK12" i="2"/>
  <c r="C31" i="2"/>
  <c r="C37" i="2"/>
  <c r="AG25" i="2"/>
  <c r="AI39" i="2"/>
  <c r="F22" i="2" l="1"/>
  <c r="Y4" i="2"/>
  <c r="Y5" i="2" s="1"/>
  <c r="R21" i="2" l="1"/>
  <c r="R22" i="2" s="1"/>
  <c r="C22" i="2"/>
</calcChain>
</file>

<file path=xl/sharedStrings.xml><?xml version="1.0" encoding="utf-8"?>
<sst xmlns="http://schemas.openxmlformats.org/spreadsheetml/2006/main" count="1329" uniqueCount="390">
  <si>
    <t>Y</t>
  </si>
  <si>
    <t>X</t>
  </si>
  <si>
    <t>N. Att</t>
  </si>
  <si>
    <t>Descrizione</t>
  </si>
  <si>
    <t>Direttiva Seveso</t>
  </si>
  <si>
    <t>Infiammabile</t>
  </si>
  <si>
    <t>Comburente</t>
  </si>
  <si>
    <t>SEL Y</t>
  </si>
  <si>
    <t>SEL X</t>
  </si>
  <si>
    <t>Non Direttiva Seveso</t>
  </si>
  <si>
    <t>Attività</t>
  </si>
  <si>
    <t>SottoTipo</t>
  </si>
  <si>
    <t>Sottotipo</t>
  </si>
  <si>
    <t>RifRiga</t>
  </si>
  <si>
    <t>Un.Mis</t>
  </si>
  <si>
    <t>Descr. X</t>
  </si>
  <si>
    <t>Descr. Y</t>
  </si>
  <si>
    <t>rif.RigaIn</t>
  </si>
  <si>
    <t>Rif.RigaFin</t>
  </si>
  <si>
    <t>Ind.Sottotipo</t>
  </si>
  <si>
    <t>=SCARTO("D" &amp; $V2 ;0;0;$W$2)</t>
  </si>
  <si>
    <t>=SCARTO(INDIRETTO($X$2);0;0;$I$14)</t>
  </si>
  <si>
    <t>Fatt. Corr</t>
  </si>
  <si>
    <t>Par.Agg1</t>
  </si>
  <si>
    <t>Par.X</t>
  </si>
  <si>
    <t>Par.Agg2</t>
  </si>
  <si>
    <t>Par.Y</t>
  </si>
  <si>
    <t>Totale</t>
  </si>
  <si>
    <t>Stabilimenti ed impianti ove si producono e/o impiegano gas infiammabili e/o comburenti con quantità globali in ciclo superiori a 25 Nm3/h</t>
  </si>
  <si>
    <t>Impianti di compressione o di decompressione dei gas infiammabili e/o comburenti con potenzialità superiore a 50 Nm3/h, con esclusione dei sistemi di riduzione del gas naturale inseriti nelle reti di distribuzione con pressione di esercizio non superiore a 0,5 MPa</t>
  </si>
  <si>
    <t>Impianti di riempimento, depositi, rivendite di gas infiammabili in recipienti mobili: compressi con capacità geometrica complessiva superiore o uguale a 0,75 m3; disciolti o liquefatti per quantitativi in massa complessivi superiori o uguali a 75 kg</t>
  </si>
  <si>
    <t>Limite</t>
  </si>
  <si>
    <t>Eccedenza</t>
  </si>
  <si>
    <t>Solo Deposito</t>
  </si>
  <si>
    <t>Deposito e rivendita</t>
  </si>
  <si>
    <t>Depositi di gas infiammabili in serbatoi fissi: compressi per capacità geometrica complessiva superiore o uguale a 0, 75 m3; disciolti o liquefatti per capacità geometrica complessiva superiore o uguale a 0,3 m3</t>
  </si>
  <si>
    <t>Depositi di gas comburenti compressi e/o liquefatti in serbatoi fissi e/o recipienti mobili per capacità geometrica complessiva superiore o uguale a 3 m3</t>
  </si>
  <si>
    <t>Non Def.</t>
  </si>
  <si>
    <t>Reti di trasporto e di distribuzione di gas infiammabili, compresi quelli di origine petrolifera o chimica, con esclusione delle reti di distribuzione e dei relativi impianti con pressione di esercizio non superiore a 0,5 Mpa</t>
  </si>
  <si>
    <t>Colonnine</t>
  </si>
  <si>
    <t>n</t>
  </si>
  <si>
    <t>Capacità</t>
  </si>
  <si>
    <t>Centrali di produzione di idrocarburi liquidi e gassosi e di stoccaggio sotterraneo di gas naturale, piattaforme fisse e strutture fisse assimilabili, di perforazione e/o produzione di idrocarburi di cui al decreto del Presidente della Repubblica 24 maggio 1979, n. 886 ed al decreto legislativo 25 novembre 1996, n. 624</t>
  </si>
  <si>
    <t>Superficie?</t>
  </si>
  <si>
    <t>m²</t>
  </si>
  <si>
    <t>Oleodotti con diametro superiore a 100 mm</t>
  </si>
  <si>
    <t>Estensione</t>
  </si>
  <si>
    <t>Officine e laboratori con saldatura e taglio dei metalli utilizzanti gas infiammabili e/o comburenti, con oltre 5 addetti alla mansione specifica di saldatura o taglio</t>
  </si>
  <si>
    <t>Superficie</t>
  </si>
  <si>
    <t>m</t>
  </si>
  <si>
    <t>Stabilimenti ed impianti ove si producono e/o impiegano, liquidi infiammabili e/o combustibili con punto di infiammabilità fino a 125 °C, con quantitativi globali in ciclo e/o in deposito superiori a 1 m3</t>
  </si>
  <si>
    <t>Stabilimenti ed impianti per la preparazione di oli lubrificanti, oli diatermici e simili, con punto di infiammabilità superiore a 125 °C, con quantitativi globali in ciclo e/o in deposito superiori a 5 m3</t>
  </si>
  <si>
    <t>Combustibile</t>
  </si>
  <si>
    <t>Depositi e/o rivendite di liquidi infiammabili e/o combustibili e/o oli lubrificanti, diatermici, di qualsiasi derivazione, di capacità geometrica complessiva superiore a 1 m3</t>
  </si>
  <si>
    <t>Volume</t>
  </si>
  <si>
    <t>m³</t>
  </si>
  <si>
    <t>Solo deposito</t>
  </si>
  <si>
    <t>Dep. + rivendita</t>
  </si>
  <si>
    <t>Impianti fissi di distribuzione carburanti per l'autotrazione, la nautica e l'aeronautica; contenitori - distributori rimovibili di carburanti liquidi: Impianti di distribuzione carburanti liquidi;  Impianti fissi di distribuzione carburanti gassosi e di tipo misto (liquidi e gassosi).</t>
  </si>
  <si>
    <t>Solo Liquidi</t>
  </si>
  <si>
    <t>Liquidi e Gas</t>
  </si>
  <si>
    <t>Officine o laboratori per la verniciatura con vernici infiammabili e/o combustibili con oltre 5 addetti.</t>
  </si>
  <si>
    <t>Stabilimenti di estrazione con solventi infiammabili e raffinazione di oli e grassi vegetali ed animali, con quantitativi globali di solventi in ciclo e/o in deposito superiori a 0,5 m3</t>
  </si>
  <si>
    <t>Depositi e/o rivendite di alcoli con concentrazione superiore al 60% in volume di capacità geometrica superiore a 1 m3</t>
  </si>
  <si>
    <t>Stabilimenti ed impianti ove si producono, impiegano o detengono sostanze esplodenti classificate come tali dal regolamento di esecuzione del testo unico delle leggi di pubblica sicurezza approvato con regio decreto 6 maggio 1940, n. 635, e successive modificazioni ed integrazioni</t>
  </si>
  <si>
    <t>Esercizi di minuta vendita e/o depositi di sostanze esplodenti classificate come tali dal regolamento di esecuzione del testo unico delle leggi di pubblica sicurezza approvato con regio decreto 6 maggio 1940, n. 635, e successive modificazioni ed integrazioni. Esercizi di vendita di artifici pirotecnici declassificati in "libera vendita" con quantitativi complessivi in vendita e/o deposito superiori a 500 kg, comprensivi degli imballaggi;</t>
  </si>
  <si>
    <t>Libera vendita</t>
  </si>
  <si>
    <t>Non Libera vend.</t>
  </si>
  <si>
    <t>Stabilimenti ed impianti ove si producono, impiegano o detengono sostanze instabili che possono dar luogo da sole a reazioni pericolose in presenza o non di catalizzatori ivi compresi i perossidi organici</t>
  </si>
  <si>
    <t>Potremmo mettere i Kg invece della superficie?</t>
  </si>
  <si>
    <t>Stabilimenti ed impianti ove si producono, impiegano o detengono nitrati di ammonio, di metalli alcalini e alcolino-terrosi, nitrato di piombo e perossidi inorganici</t>
  </si>
  <si>
    <t>Stabilimenti ed impianti ove si producono, impiegano o detengono sostanze soggette all'accensione spontanea e/o sostanze che a contatto con l'acqua sviluppano gas infiammabili</t>
  </si>
  <si>
    <t>Stabilimenti ed impianti ove si produce acqua ossigenata con concentrazione superiore al 60% di perossido di idrogeno</t>
  </si>
  <si>
    <t>Potremmo mettere i m³ invece della superficie?</t>
  </si>
  <si>
    <t>Stabilimenti ed impianti per la macinazione e la raffinazione dello zolfo; depositi di zolfo con potenzialità superiore a 10.000 kg</t>
  </si>
  <si>
    <t>Stabilimenti ed impianti ove si produce, impiega e/o detiene fosforo e/o sesquisolfuro di fosforo</t>
  </si>
  <si>
    <t>Fabbriche di fiammiferi; depositi di fiammiferi con quantitativi in massa superiori a 500 kg</t>
  </si>
  <si>
    <t>: Stabilimenti ed impianti ove si produce, impiega o detiene magnesio, elektron e altre leghe ad alto tenore di magnesio</t>
  </si>
  <si>
    <t>Mulini per cereali ed altre macinazioni con potenzialità giornaliera superiore a 20.000 kg; Depositi di cereali e di altre macinazioni con quantitativi in massa superiori a 50.000 kg</t>
  </si>
  <si>
    <t>PAR X</t>
  </si>
  <si>
    <t>PAR Y</t>
  </si>
  <si>
    <t>Fat. Corr (K)</t>
  </si>
  <si>
    <t>Dep. + mulino</t>
  </si>
  <si>
    <t>Deposito solamente</t>
  </si>
  <si>
    <t>Y = (2Q-20)/Q [curva asintotica verso 2]</t>
  </si>
  <si>
    <t>Note =</t>
  </si>
  <si>
    <t>Impianti per l'essiccazione di cereali e di vegetali in genere con depositi di prodotto essiccato con quantitativi in massa superiori a 50.000 kg</t>
  </si>
  <si>
    <t>Y = (2Q-50)/Q [curva asintotica verso 2]</t>
  </si>
  <si>
    <t>Stabilimenti ove si producono surrogati del caff</t>
  </si>
  <si>
    <t>Zuccherifici e raffinerie dello zucchero</t>
  </si>
  <si>
    <t>Pastifici e/o riserie con produzione giornaliera superiore a 50.000 kg</t>
  </si>
  <si>
    <t>Stabilimenti ed impianti ove si lavora e/o detiene foglia di tabacco con processi di essiccazione con oltre 100 addetti o con quantitativi globali in ciclo e/o in deposito superiori a 50.000 kg</t>
  </si>
  <si>
    <t>Stabilimenti ed impianti per la produzione della carta e dei cartoni e di allestimento di prodotti cartotecnici in genere con oltre 25 addetti o con materiale in lavorazione e/o in deposito superiore a 50.000 kg</t>
  </si>
  <si>
    <t>Deposito di carta</t>
  </si>
  <si>
    <t>Dep. + stabilimento</t>
  </si>
  <si>
    <t>Depositi di carta, cartoni e prodotti cartotecnici, archivi di materiale cartaceo, biblioteche, depositi per la cernita della carta usata, di stracci di cascami e di fibre tessili per l'industria della carta, con quantitativi in massa superiori a 5.000 kg</t>
  </si>
  <si>
    <t>Stabilimenti, impianti, depositi ove si producono, impiegano e/o detengono carte fotografiche, calcografiche, eliografiche e cianografiche, pellicole cinematografiche, radiografiche e fotografiche con materiale in lavorazione e/o in deposito superiore a 5.000 kg</t>
  </si>
  <si>
    <t>Y = (2Q-5)/Q [curva asintotica verso 2]</t>
  </si>
  <si>
    <t>Dep+ Impianto</t>
  </si>
  <si>
    <t>Depositi di legnami da costruzione e da lavorazione, di legna da ardere, di paglia, di fieno, di canne, di fascine, di carbone vegetale e minerale, di carbonella, di sughero e di altri prodotti affini con quantitativi in massa superiori a 50.000 kg con esclusione dei depositi all'aperto con distanze di sicurezza esterne superiori a 100 m</t>
  </si>
  <si>
    <t>Stabilimenti e laboratori per la lavorazione del legno con materiale in lavorazione e/o in deposito superiore a 5.000 kg</t>
  </si>
  <si>
    <t>Dep + Laboratorio</t>
  </si>
  <si>
    <t>Stabilimenti ed impianti ove si producono, lavorano e/o detengono fibre tessili e tessuti naturali e artificiali, tele cerate, linoleum e altri prodotti affini, con quantitativi in massa superiori a 5.000 kg</t>
  </si>
  <si>
    <t>Dep + Stabilimento</t>
  </si>
  <si>
    <t>Stabilimenti per la produzione di arredi, di abbigliamento, della lavorazione della pelle e calzaturifici, con oltre 25 addetti</t>
  </si>
  <si>
    <t>Stabilimenti ed impianti per la preparazione del crine vegetale, della trebbia e simili, lavorazione della paglia, dello sparto e simili, lavorazione del sughero, con quantitativi in massa in lavorazione o in deposito superiori a 5.000 kg</t>
  </si>
  <si>
    <t>Teatri e studi per le riprese cinematografiche e televisive</t>
  </si>
  <si>
    <t xml:space="preserve"> Laboratori per la realizzazione di attrezzerie e scenografie, compresi i relativi depositi, di superficie complessiva superiore a 200 m2</t>
  </si>
  <si>
    <t>Stabilimenti ed impianti per la produzione, lavorazione e rigenerazione della gomma e/o laboratori di vulcanizzazione di oggetti di gomma, con quantitativi in massa superiori a 5.000 kg;  Depositi di prodotti della gomma, pneumatici e simili, con quantitativi in massa superiori a 10.000 kg</t>
  </si>
  <si>
    <t>Stabilimenti, impianti, depositi ove si producono, lavorano e/o detengono materie plastiche, con quantitativi in massa superiori a 5.000 kg</t>
  </si>
  <si>
    <t>Stabilimenti ed impianti ove si producono e lavorano resine sintetiche e naturali, fitofarmaci, coloranti organici e intermedi e prodotti farmaceutici con l'impiego di solventi ed altri prodotti infiammabili</t>
  </si>
  <si>
    <t>Depositi di fitofarmaci e/o di concimi chimici a base di nitrati e/o fosfati con quantitativi in massa superiori a 50.000 kg</t>
  </si>
  <si>
    <t>Stabilimenti ed impianti per la fabbricazione di cavi e conduttori elettrici isolati, con quantitativi in lavorazione e/o in deposito superiori a 10.000 kg; Depositi e/o rivendite di cavi elettrici isolati con quantitativi superiori a 10.000 kg</t>
  </si>
  <si>
    <t>Dep + impianto</t>
  </si>
  <si>
    <t>Y = (2Q-10)/Q [curva asintotica verso 2]</t>
  </si>
  <si>
    <t>Centrali termoelettriche, macchine elettriche fisse con presenza di liquidi isolanti combustibili in quantitativi superiori a 1 m³</t>
  </si>
  <si>
    <t xml:space="preserve">Potenza </t>
  </si>
  <si>
    <t>MW</t>
  </si>
  <si>
    <t>Gruppi per la produzione di energia elettrica sussidiaria con motori endotermici ed impianti di cogenerazione di potenza complessiva superiore a 25 kW</t>
  </si>
  <si>
    <t>kW</t>
  </si>
  <si>
    <t>Isolato o all'esterno</t>
  </si>
  <si>
    <t>In edificio</t>
  </si>
  <si>
    <t>Stabilimenti ed impianti ove si producono lampade elettriche e simili, pile ed accumulatori elettrici e simili, con oltre 5 addetti</t>
  </si>
  <si>
    <t>Stabilimenti siderurgici e per la produzione di altri metalli con oltre 5 addetti; attività comportanti lavorazioni a caldo di metalli con oltre 5 addetti ad esclusione dei laboratori artigiani di oreficeria ed argenteria fino a 25 addetti</t>
  </si>
  <si>
    <t>Stabilimenti, con oltre 5 addetti, per la costruzione di aeromobili, veicoli a motore, materiale rotabile ferroviario e tramviario, carrozzerie e rimorchi per autoveicoli; cantieri navali con oltre 5 addetti</t>
  </si>
  <si>
    <t>Officine per la riparazione di: veicoli a motore, rimorchi per autoveicoli e carrozzerie, di superficie coperta superiore a 300 m2; materiale rotabile tramviario e di aeromobili, di superficie coperta superiore a 1000 m2</t>
  </si>
  <si>
    <t>Solo Veicoli a motore</t>
  </si>
  <si>
    <t>Aeromobili o treni</t>
  </si>
  <si>
    <t>Officine meccaniche per lavorazioni a freddo con oltre 25 addetti</t>
  </si>
  <si>
    <t>Attività di demolizioni di veicoli e simili con relativi depositi, di superficie superiore a 3000 m²</t>
  </si>
  <si>
    <t>Stabilimenti ed impianti ove si producono laterizi, maioliche, porcellane e simili con oltre 25 addetti</t>
  </si>
  <si>
    <t>Cementifici con oltre 25 addetti</t>
  </si>
  <si>
    <t>Pratiche di cui al D.Lgs. 230/95 s.m.i. soggette a provvedimenti autorizzativi (art. 27 del D.Lgs. 230/95 ed art. 13 legge 31 dicembre 1962, n. 1860)</t>
  </si>
  <si>
    <t>Autorimesse adibite al ricovero di mezzi utilizzati per il trasporto di materie fissili speciali e di materie radioattive (art. 5 della legge 31 dicembre 1962, n. 1860, sostituito dall'art. 2 del decreto del Presidente della Repubblica 30 dicembre 1965, n. 1704; art. 21 del D.Lgs. 230/95)</t>
  </si>
  <si>
    <t>Impianti di deposito delle materie nucleari ed attività assoggettate agli artt. 33 e 52 del decreto legislativo 17 marzo 1995, n. 230 e s.m.i. , con esclusione dei depositi in corso di spedizione</t>
  </si>
  <si>
    <t>Impianti nei quali siano detenuti combustibili nucleari o prodotti o residui radioattivi [art. 1, lettera b) della legge 31 dicembre 1962, n. 1860]</t>
  </si>
  <si>
    <t>Impianti relativi all'impiego pacifico dell'energia nucleare ed attività che comportano pericoli di radiazioni ionizzanti derivanti dal predetto impiego: impianti nucleari</t>
  </si>
  <si>
    <t xml:space="preserve">Stabilimenti per la produzione, depositi di sapone, di candele e di altri oggetti di cera e di paraffina, di acidi grassi, di glicerina grezza quando non sia prodotta per idrolisi, di glicerina </t>
  </si>
  <si>
    <t>Y = (2Q-500)/Q [curva asintotica verso 2]</t>
  </si>
  <si>
    <t>massa [kg]</t>
  </si>
  <si>
    <t>Centri informatici di elaborazione e/o archiviazione dati con oltre 25 addetti</t>
  </si>
  <si>
    <t>Locali di spettacolo e di trattenimento in genere, impianti e centri sportivi, palestre, sia a carattere pubblico che privato, con capienza superiore a 100 persone, ovvero di superficie lorda in pianta al chiuso superiore a 200 m2. Sono escluse le manifestazioni temporanee, di qualsiasi genere, che si effettuano in locali o luoghi aperti al pubblico</t>
  </si>
  <si>
    <t>Persone</t>
  </si>
  <si>
    <t>Alberghi, pensioni, motel, villaggi albergo, residenze turistico - alberghiere, studentati, villaggi turistici, alloggi agrituristici, ostelli per la gioventù, rifugi alpini, bed &amp; breakfast, dormitori, case per ferie, con oltre 25 posti-letto; Strutture turistico-ricettive nell'aria aperta (campeggi, villaggi-turistici, ecc.) con capacità ricettiva superiore a 400 persone</t>
  </si>
  <si>
    <t>Y = (3N-100)/N [curva asintotica verso 3]</t>
  </si>
  <si>
    <t>Scuole di ogni ordine, grado e tipo, collegi, accademie con oltre 100 persone presenti; asili nido con oltre 30 persone presenti</t>
  </si>
  <si>
    <t>Strutture sanitarie che erogano prestazioni in regime di ricovero ospedaliero e/o residenziale a ciclo continuativo e/o diurno, case di riposo per anziani con oltre 25 posti letto;  Strutture sanitarie che erogano prestazioni di assistenza specialistica in regime ambulatoriale, ivi comprese quelle riabilitative, di diagnostica strumentale e di laboratorio, di superficie complessiva superiore a 500 m2</t>
  </si>
  <si>
    <t>Sup. area tipo C e D1</t>
  </si>
  <si>
    <t>Per le aree di tipo C e D1 si applicano i limiti in superficie</t>
  </si>
  <si>
    <t>Locali adibiti ad esposizione e/o vendita all'ingrosso o al dettaglio, fiere e quartieri fieristici, con superficie lorda superiore a 400 m2 comprensiva dei servizi e depositi. Sono escluse le manifestazioni temporanee, di qualsiasi genere, che si effettuano in locali o luoghi aperti al pubblico</t>
  </si>
  <si>
    <t>Vendita Dettaglio</t>
  </si>
  <si>
    <t>Locali adibiti a depositi di superficie lorda superiore a 1000 m2 con quantitativi di merci e materiali combustibili superiori complessivamente a 5000 kg</t>
  </si>
  <si>
    <t>Aziende ed uffici con oltre 300 persone presenti</t>
  </si>
  <si>
    <t>Y = (3N-300)/N [curva asintotica verso 3]</t>
  </si>
  <si>
    <t>Edifici e/o complessi edilizi a uso terziario e/o industriale caratterizzati da promiscuità strutturale e/o dei sistemi delle vie di esodo e/o impiantistica con presenza di persone superiore a 300 unità, ovvero di superficie complessiva superiore a 5000 m2, indipendentemente dal numero di attività costituenti e dalla relativa diversa titolarità</t>
  </si>
  <si>
    <t>Bibblioteche, museo e simili</t>
  </si>
  <si>
    <t>Altre attività soggette</t>
  </si>
  <si>
    <t>Edifici sottoposti a tutela ai sensi del D.Lgs. 22 gennaio 2004, n. 42 destinati a contenere biblioteche ed archivi, musei, gallerie, esposizioni e mostre, nonché qualsiasi altra attività contenuta nel presente Allegato indipendentemente dal numero di attività costituenti e dalla relativa diversa titolarità</t>
  </si>
  <si>
    <t>Attività interne non soggette</t>
  </si>
  <si>
    <t>Attività interne soggette</t>
  </si>
  <si>
    <t>Se le attività all'interno sono già soggette si aumenta solo di un 30%</t>
  </si>
  <si>
    <t>Se le attività all'interno sono già soggette si aumenta solo di un 20%</t>
  </si>
  <si>
    <t>Impianti per la produzione di calore alimentati a combustibile solido, liquido o gassoso con potenzialità superiore a 116 kW</t>
  </si>
  <si>
    <t>Autorimesse pubbliche e private, parcheggi pluriplano e meccanizzati di superficie complessiva superiore a 300 m2; locali adibiti al ricovero di natanti ed aeromobili di superficie superiore a 500 m2; depositi di mezzi rotabili al chiuso (treni, tram ecc.) di superficie superiore a 1000 m2</t>
  </si>
  <si>
    <t>Automobili</t>
  </si>
  <si>
    <t>Rotabili</t>
  </si>
  <si>
    <t>Y = (2P-1)/P [curva asintotica verso 2]</t>
  </si>
  <si>
    <t>Tipografie, litografie, stampa in offset ed attività similari con oltre cinque addett</t>
  </si>
  <si>
    <t>Edifici destinati ad uso civile, con altezza antincendio superiore a 24 m</t>
  </si>
  <si>
    <t>Altezza</t>
  </si>
  <si>
    <t>Aerostazioni, stazioni ferroviarie, stazioni marittime, con superficie coperta accessibile al pubblico superiore a 5000 m2; metropolitane in tutto o in parte sotterranee</t>
  </si>
  <si>
    <t>Superficie (per aerostazioni, stazioni ecc)</t>
  </si>
  <si>
    <t>N. Fermate metropolitane</t>
  </si>
  <si>
    <t>Aerostazione</t>
  </si>
  <si>
    <t>Stazione Ferroviaria</t>
  </si>
  <si>
    <t>Interporti con superficie superiore a 20.000 m²</t>
  </si>
  <si>
    <t xml:space="preserve">Gallerie stradali di lunghezza superiore a 500 m e ferroviarie superiori a 2000 </t>
  </si>
  <si>
    <t>Lunghezza</t>
  </si>
  <si>
    <t>Autostradale</t>
  </si>
  <si>
    <t>Ferroviaria</t>
  </si>
  <si>
    <t>Parametro Attività</t>
  </si>
  <si>
    <t>Normato?</t>
  </si>
  <si>
    <t>Non Normato</t>
  </si>
  <si>
    <t>normata da regola tecnica prescrittiva</t>
  </si>
  <si>
    <t>NOF?</t>
  </si>
  <si>
    <t>si</t>
  </si>
  <si>
    <t>no</t>
  </si>
  <si>
    <t>DER?</t>
  </si>
  <si>
    <t>FSE?</t>
  </si>
  <si>
    <t>Costo Orario</t>
  </si>
  <si>
    <t>nof</t>
  </si>
  <si>
    <t>der</t>
  </si>
  <si>
    <t>fse</t>
  </si>
  <si>
    <t>Fattore K applicato:</t>
  </si>
  <si>
    <t>PER ATT. 68</t>
  </si>
  <si>
    <t>Par. Princ</t>
  </si>
  <si>
    <t>Valore Parametro X =</t>
  </si>
  <si>
    <t>Valore Parametro Y =</t>
  </si>
  <si>
    <t>PARAMETRI</t>
  </si>
  <si>
    <t>Principale [S]</t>
  </si>
  <si>
    <t>Agg. 1 (X)</t>
  </si>
  <si>
    <t>Agg. 2 (Y)</t>
  </si>
  <si>
    <t>Valore</t>
  </si>
  <si>
    <t>DM 2015</t>
  </si>
  <si>
    <t>Nm³</t>
  </si>
  <si>
    <t>Compenso =</t>
  </si>
  <si>
    <t>INSERISCI</t>
  </si>
  <si>
    <t>ATTIVITA'</t>
  </si>
  <si>
    <t>SOTTOTIPO</t>
  </si>
  <si>
    <t>QUANTITA'</t>
  </si>
  <si>
    <t>CONTROLLA</t>
  </si>
  <si>
    <t>SE ESISTE X</t>
  </si>
  <si>
    <t>SE ESISTE Y</t>
  </si>
  <si>
    <t>SE X o Y NON ESISTONO</t>
  </si>
  <si>
    <t>SELEZIONA NON DEF.</t>
  </si>
  <si>
    <t>F</t>
  </si>
  <si>
    <t>Asintoto</t>
  </si>
  <si>
    <t>Partenza</t>
  </si>
  <si>
    <t>Num.</t>
  </si>
  <si>
    <t>TOTALE</t>
  </si>
  <si>
    <t>Nomrata</t>
  </si>
  <si>
    <t>NORMA</t>
  </si>
  <si>
    <t>DEROGA</t>
  </si>
  <si>
    <t>Prescrittiva</t>
  </si>
  <si>
    <t>Prestazionale</t>
  </si>
  <si>
    <t>N. ATTIVITA'</t>
  </si>
  <si>
    <t>FORMULA?</t>
  </si>
  <si>
    <t xml:space="preserve">Modifica Eccedenza = </t>
  </si>
  <si>
    <t>Modifica Fattore K :</t>
  </si>
  <si>
    <t>Categoria A</t>
  </si>
  <si>
    <t>Categoria B</t>
  </si>
  <si>
    <t>Y = (2N-25)/N [curva asintotica verso 2]</t>
  </si>
  <si>
    <t>Depositi/archivi</t>
  </si>
  <si>
    <t>Biblioteche</t>
  </si>
  <si>
    <t>INDICARE</t>
  </si>
  <si>
    <t>SE NORMATA,</t>
  </si>
  <si>
    <t>NON NORMATA,</t>
  </si>
  <si>
    <t>O SI APPLICA IL D.M. 2015,</t>
  </si>
  <si>
    <r>
      <rPr>
        <sz val="18"/>
        <color theme="1"/>
        <rFont val="Calibri"/>
        <family val="2"/>
        <scheme val="minor"/>
      </rPr>
      <t xml:space="preserve">SE X o Y NON ESISTONO SELEZIONA </t>
    </r>
    <r>
      <rPr>
        <sz val="18"/>
        <color rgb="FFFF0000"/>
        <rFont val="Calibri"/>
        <family val="2"/>
        <scheme val="minor"/>
      </rPr>
      <t>NON DEF.</t>
    </r>
  </si>
  <si>
    <t>Parametro Principale</t>
  </si>
  <si>
    <t>PARAMETRO</t>
  </si>
  <si>
    <t>Valore [S]</t>
  </si>
  <si>
    <t>Parametro X</t>
  </si>
  <si>
    <t>Valore [X]</t>
  </si>
  <si>
    <t>Parametro Y</t>
  </si>
  <si>
    <t>Valore [Y]</t>
  </si>
  <si>
    <t>Attività Normata?</t>
  </si>
  <si>
    <t>x NEC</t>
  </si>
  <si>
    <t>Y NEC</t>
  </si>
  <si>
    <t>Persone
INSERIRE VALORE</t>
  </si>
  <si>
    <t>massa [t]
INSERIRE VALORE</t>
  </si>
  <si>
    <t/>
  </si>
  <si>
    <t>Posti Letto
INSERIRE VALORE</t>
  </si>
  <si>
    <t>Vendita Ingrosso
INSERIRE VALORE</t>
  </si>
  <si>
    <t>Numero Scale
INSERIRE VALORE</t>
  </si>
  <si>
    <t>Num. di Piani Interrati
INSERIRE VALORE</t>
  </si>
  <si>
    <t>Sup. area tipo B e F
INSERIRE VALORE</t>
  </si>
  <si>
    <t>Sup. area tipo D2
INSERIRE VALORE</t>
  </si>
  <si>
    <t>Totale Parametro</t>
  </si>
  <si>
    <t>Stabilimento [Superficie]</t>
  </si>
  <si>
    <t>Solo Deposito [Quantità]</t>
  </si>
  <si>
    <t>Ciclo [Superficie]</t>
  </si>
  <si>
    <t>PRINCIPALE</t>
  </si>
  <si>
    <t>OK</t>
  </si>
  <si>
    <t xml:space="preserve">Compenso atteso </t>
  </si>
  <si>
    <t>NOTE</t>
  </si>
  <si>
    <t>Modifica Par.  X =</t>
  </si>
  <si>
    <t>Modifica Par.  Y =</t>
  </si>
  <si>
    <t>PARAMETRI PROGETTO</t>
  </si>
  <si>
    <t>PARAMETRI SCIA</t>
  </si>
  <si>
    <t>SI</t>
  </si>
  <si>
    <t>NO</t>
  </si>
  <si>
    <t>K per Full</t>
  </si>
  <si>
    <t>K per Ass.</t>
  </si>
  <si>
    <t>Tabellare</t>
  </si>
  <si>
    <t>Analitico</t>
  </si>
  <si>
    <t>K per NA</t>
  </si>
  <si>
    <t>K SCIA</t>
  </si>
  <si>
    <t>A</t>
  </si>
  <si>
    <t>B</t>
  </si>
  <si>
    <t>C</t>
  </si>
  <si>
    <t>K per A</t>
  </si>
  <si>
    <t>Descrizione Attività</t>
  </si>
  <si>
    <t>K</t>
  </si>
  <si>
    <t>Tipologia</t>
  </si>
  <si>
    <t>Colonnine?</t>
  </si>
  <si>
    <t>Vendita Ingrosso</t>
  </si>
  <si>
    <t>Y = (2Q-20)/Q</t>
  </si>
  <si>
    <t>massa [t] Q</t>
  </si>
  <si>
    <t>Deposito e stabilimento</t>
  </si>
  <si>
    <t>Deposito e Impianto</t>
  </si>
  <si>
    <t>All'intero di edificio</t>
  </si>
  <si>
    <t>massa [kg] Q</t>
  </si>
  <si>
    <t>Persone P</t>
  </si>
  <si>
    <t>Posti Letto PL</t>
  </si>
  <si>
    <t>Bibblioteche, musei e simili</t>
  </si>
  <si>
    <t>Numero Scale SC</t>
  </si>
  <si>
    <t>Numero di Piani Interrati PI</t>
  </si>
  <si>
    <t>N. fermate metropolitane</t>
  </si>
  <si>
    <t>Parametro Principale (SxK)</t>
  </si>
  <si>
    <t>Ecc.</t>
  </si>
  <si>
    <t>N. Attività</t>
  </si>
  <si>
    <t xml:space="preserve">Sx - aree tipo B e/o F </t>
  </si>
  <si>
    <t>Sy - aree tipo D2</t>
  </si>
  <si>
    <t>X = (Sx x 7)^0,5</t>
  </si>
  <si>
    <t>Y = (Sy x 8)^0,5</t>
  </si>
  <si>
    <t>68(*)</t>
  </si>
  <si>
    <t>Incarico Completo</t>
  </si>
  <si>
    <t>PARAMETRI SCIA PARZIALI</t>
  </si>
  <si>
    <t>Categoria Attività</t>
  </si>
  <si>
    <t>B3  [n] Tabellare</t>
  </si>
  <si>
    <t>B3 [n] Analitico</t>
  </si>
  <si>
    <t>B4 [n]  Impianti</t>
  </si>
  <si>
    <t>B5 
SCIA</t>
  </si>
  <si>
    <t>B.6 Non Aggravio</t>
  </si>
  <si>
    <t>Tipo Incarico e attività</t>
  </si>
  <si>
    <t>B.2 Direzione Lavori</t>
  </si>
  <si>
    <t>k</t>
  </si>
  <si>
    <t>Con b.2</t>
  </si>
  <si>
    <t>Senza b.2</t>
  </si>
  <si>
    <t>Compenso Stimato Minimo Progettaz</t>
  </si>
  <si>
    <t>Compenso Stimato Massimo Progettaz</t>
  </si>
  <si>
    <t>Compenso Stimato Minimo SCIA</t>
  </si>
  <si>
    <t>Compenso Stimato Massimo SCIA</t>
  </si>
  <si>
    <t>Stabilimenti ed impianti ove si produce, impiega o detiene magnesio, elektron e altre leghe ad alto tenore di magnesio</t>
  </si>
  <si>
    <t>Y = (3N-200)/N [curva asintotica verso 3]</t>
  </si>
  <si>
    <t>Superficie o Kg materiali</t>
  </si>
  <si>
    <t>Superficie o Qttà</t>
  </si>
  <si>
    <t>Superficie - Postazioni</t>
  </si>
  <si>
    <t>Infiammabile - Qtà al Giorno</t>
  </si>
  <si>
    <t>Superficie o Kg materiali (doppia)</t>
  </si>
  <si>
    <t>Potenzialità [t]
INSERIRE VALORE</t>
  </si>
  <si>
    <t>massa [kg]
INSERIRE VALORE</t>
  </si>
  <si>
    <t>Parametro (X)</t>
  </si>
  <si>
    <t>Parametro (Y)</t>
  </si>
  <si>
    <t>Parametro  G=</t>
  </si>
  <si>
    <t>PARAMETRO G</t>
  </si>
  <si>
    <t>Sottoinsiemi</t>
  </si>
  <si>
    <t>Ore Equivalenti</t>
  </si>
  <si>
    <t>INDICARE SE VIENE</t>
  </si>
  <si>
    <t xml:space="preserve">AFFIDATO L'INCARICO </t>
  </si>
  <si>
    <t xml:space="preserve">COMPLETO E LA </t>
  </si>
  <si>
    <t xml:space="preserve">CATEGORIA
</t>
  </si>
  <si>
    <t>INDICARE I PARAMETRI</t>
  </si>
  <si>
    <t>PARZIALI DELLA FASE 2</t>
  </si>
  <si>
    <t>(SOLO SE INCARICO</t>
  </si>
  <si>
    <t xml:space="preserve">NON COMPLETO)
</t>
  </si>
  <si>
    <r>
      <t>Parametro Fase 1 h</t>
    </r>
    <r>
      <rPr>
        <sz val="16"/>
        <color theme="1"/>
        <rFont val="Calibri"/>
        <family val="2"/>
        <scheme val="minor"/>
      </rPr>
      <t>i</t>
    </r>
    <r>
      <rPr>
        <sz val="26"/>
        <color theme="1"/>
        <rFont val="Calibri"/>
        <family val="2"/>
        <scheme val="minor"/>
      </rPr>
      <t xml:space="preserve"> =</t>
    </r>
  </si>
  <si>
    <t>Locali di spettacolo e di trat [...]</t>
  </si>
  <si>
    <t>-</t>
  </si>
  <si>
    <t>TOTALE FASE 1</t>
  </si>
  <si>
    <t>TOTALE FASE 2</t>
  </si>
  <si>
    <r>
      <t>(</t>
    </r>
    <r>
      <rPr>
        <i/>
        <sz val="11"/>
        <color theme="1"/>
        <rFont val="Calibri"/>
        <family val="2"/>
        <scheme val="minor"/>
      </rPr>
      <t>Totale ore equivalenti per una singola attività</t>
    </r>
    <r>
      <rPr>
        <sz val="11"/>
        <color theme="1"/>
        <rFont val="Calibri"/>
        <family val="2"/>
        <scheme val="minor"/>
      </rPr>
      <t>)</t>
    </r>
  </si>
  <si>
    <r>
      <t>Parametro Fase 2 h</t>
    </r>
    <r>
      <rPr>
        <sz val="16"/>
        <color theme="1"/>
        <rFont val="Calibri"/>
        <family val="2"/>
        <scheme val="minor"/>
      </rPr>
      <t>j</t>
    </r>
    <r>
      <rPr>
        <sz val="26"/>
        <color theme="1"/>
        <rFont val="Calibri"/>
        <family val="2"/>
        <scheme val="minor"/>
      </rPr>
      <t xml:space="preserve"> =</t>
    </r>
  </si>
  <si>
    <t>TOTALE PER INCARICO COMPLETO</t>
  </si>
  <si>
    <r>
      <t>G</t>
    </r>
    <r>
      <rPr>
        <vertAlign val="subscript"/>
        <sz val="11"/>
        <color theme="1"/>
        <rFont val="Calibri"/>
        <family val="2"/>
        <scheme val="minor"/>
      </rPr>
      <t>i</t>
    </r>
  </si>
  <si>
    <r>
      <t>S</t>
    </r>
    <r>
      <rPr>
        <vertAlign val="subscript"/>
        <sz val="11"/>
        <color theme="1"/>
        <rFont val="Calibri"/>
        <family val="2"/>
        <scheme val="minor"/>
      </rPr>
      <t>eq</t>
    </r>
  </si>
  <si>
    <t>Attività Normata? [A]</t>
  </si>
  <si>
    <t>Richiesta di Deroga [D]</t>
  </si>
  <si>
    <t>Soluzioni alternative [I]</t>
  </si>
  <si>
    <t>Numero di soluzioni</t>
  </si>
  <si>
    <t>Soluzione/i con FSE?</t>
  </si>
  <si>
    <t>Numero di scenari FSE</t>
  </si>
  <si>
    <t>Alterna</t>
  </si>
  <si>
    <t>Alternative</t>
  </si>
  <si>
    <t>FSE</t>
  </si>
  <si>
    <t>B1</t>
  </si>
  <si>
    <t>B.1 Direzione Lavori</t>
  </si>
  <si>
    <t>B4</t>
  </si>
  <si>
    <t>hf1</t>
  </si>
  <si>
    <t>hF2</t>
  </si>
  <si>
    <r>
      <t>h</t>
    </r>
    <r>
      <rPr>
        <vertAlign val="subscript"/>
        <sz val="11"/>
        <color theme="1"/>
        <rFont val="Calibri"/>
        <family val="2"/>
        <scheme val="minor"/>
      </rPr>
      <t>i</t>
    </r>
  </si>
  <si>
    <t>FASE 1 - PROGETTO DI PREVENZIONE INCENDI</t>
  </si>
  <si>
    <t>FASE 2 - ASSISTENZA D.L. e SCIA</t>
  </si>
  <si>
    <t>Hj</t>
  </si>
  <si>
    <t>B2  [n] Tabellare</t>
  </si>
  <si>
    <t>B2 [n] Analitico</t>
  </si>
  <si>
    <t>B3 [n]  Impianti</t>
  </si>
  <si>
    <t>B4 
SCIA</t>
  </si>
  <si>
    <t>B.5 Non Aggravio</t>
  </si>
  <si>
    <t>B5</t>
  </si>
  <si>
    <t>B2</t>
  </si>
  <si>
    <t>B3</t>
  </si>
  <si>
    <t>hi</t>
  </si>
  <si>
    <t>Seq</t>
  </si>
  <si>
    <t>Descrizione [...]</t>
  </si>
  <si>
    <r>
      <t>h</t>
    </r>
    <r>
      <rPr>
        <vertAlign val="subscript"/>
        <sz val="14"/>
        <color theme="1"/>
        <rFont val="Calibri"/>
        <family val="2"/>
        <scheme val="minor"/>
      </rPr>
      <t>j</t>
    </r>
    <r>
      <rPr>
        <sz val="14"/>
        <color theme="1"/>
        <rFont val="Calibri"/>
        <family val="2"/>
        <scheme val="minor"/>
      </rPr>
      <t xml:space="preserve"> = </t>
    </r>
    <r>
      <rPr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  <scheme val="minor"/>
      </rPr>
      <t>h</t>
    </r>
    <r>
      <rPr>
        <vertAlign val="subscript"/>
        <sz val="14"/>
        <color theme="1"/>
        <rFont val="Calibri"/>
        <family val="2"/>
        <scheme val="minor"/>
      </rPr>
      <t>jk</t>
    </r>
  </si>
  <si>
    <r>
      <t>h</t>
    </r>
    <r>
      <rPr>
        <vertAlign val="subscript"/>
        <sz val="14"/>
        <color theme="1"/>
        <rFont val="Calibri"/>
        <family val="2"/>
        <scheme val="minor"/>
      </rPr>
      <t>j</t>
    </r>
    <r>
      <rPr>
        <sz val="14"/>
        <color theme="1"/>
        <rFont val="Calibri"/>
        <family val="2"/>
        <scheme val="minor"/>
      </rPr>
      <t xml:space="preserve"> = </t>
    </r>
    <r>
      <rPr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  <scheme val="minor"/>
      </rPr>
      <t>gi</t>
    </r>
  </si>
  <si>
    <r>
      <t>h</t>
    </r>
    <r>
      <rPr>
        <vertAlign val="subscript"/>
        <sz val="14"/>
        <color theme="1"/>
        <rFont val="Calibri"/>
        <family val="2"/>
        <scheme val="minor"/>
      </rPr>
      <t>j</t>
    </r>
    <r>
      <rPr>
        <sz val="14"/>
        <color theme="1"/>
        <rFont val="Calibri"/>
        <family val="2"/>
        <scheme val="minor"/>
      </rPr>
      <t xml:space="preserve"> = 1,8 x </t>
    </r>
    <r>
      <rPr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  <scheme val="minor"/>
      </rPr>
      <t>gi</t>
    </r>
  </si>
  <si>
    <r>
      <t>h</t>
    </r>
    <r>
      <rPr>
        <vertAlign val="subscript"/>
        <sz val="14"/>
        <color theme="1"/>
        <rFont val="Calibri"/>
        <family val="2"/>
        <scheme val="minor"/>
      </rPr>
      <t>j</t>
    </r>
    <r>
      <rPr>
        <sz val="14"/>
        <color theme="1"/>
        <rFont val="Calibri"/>
        <family val="2"/>
        <scheme val="minor"/>
      </rPr>
      <t xml:space="preserve"> = 1,8 x </t>
    </r>
    <r>
      <rPr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  <scheme val="minor"/>
      </rPr>
      <t>g</t>
    </r>
    <r>
      <rPr>
        <vertAlign val="subscript"/>
        <sz val="14"/>
        <color theme="1"/>
        <rFont val="Calibri"/>
        <family val="2"/>
        <scheme val="minor"/>
      </rPr>
      <t>i</t>
    </r>
    <r>
      <rPr>
        <sz val="14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</si>
</sst>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1"/>
      <color theme="1"/>
      <name val="Calibri"/>
      <family val="1"/>
      <charset val="2"/>
    </font>
    <font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0070C0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/>
      <right style="medium">
        <color rgb="FF0070C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9">
    <xf numFmtId="0" fontId="0" fillId="0" borderId="0" xfId="0"/>
    <xf numFmtId="0" fontId="0" fillId="2" borderId="1" xfId="0" applyFill="1" applyBorder="1"/>
    <xf numFmtId="0" fontId="0" fillId="0" borderId="0" xfId="0" quotePrefix="1"/>
    <xf numFmtId="0" fontId="0" fillId="2" borderId="2" xfId="0" applyFill="1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quotePrefix="1" applyFill="1"/>
    <xf numFmtId="0" fontId="1" fillId="4" borderId="0" xfId="0" quotePrefix="1" applyFont="1" applyFill="1"/>
    <xf numFmtId="0" fontId="2" fillId="0" borderId="0" xfId="0" applyFont="1"/>
    <xf numFmtId="0" fontId="0" fillId="0" borderId="0" xfId="0" applyAlignment="1">
      <alignment horizontal="right" vertical="center"/>
    </xf>
    <xf numFmtId="0" fontId="1" fillId="4" borderId="0" xfId="0" applyFont="1" applyFill="1"/>
    <xf numFmtId="0" fontId="2" fillId="0" borderId="0" xfId="0" quotePrefix="1" applyFont="1"/>
    <xf numFmtId="0" fontId="0" fillId="0" borderId="0" xfId="0" applyAlignment="1">
      <alignment horizontal="right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 applyProtection="1">
      <alignment vertical="center" wrapText="1"/>
      <protection locked="0"/>
    </xf>
    <xf numFmtId="164" fontId="0" fillId="4" borderId="1" xfId="2" applyNumberFormat="1" applyFont="1" applyFill="1" applyBorder="1" applyAlignment="1">
      <alignment vertical="center"/>
    </xf>
    <xf numFmtId="43" fontId="0" fillId="3" borderId="1" xfId="2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0" fillId="4" borderId="1" xfId="0" applyFill="1" applyBorder="1" applyAlignment="1" applyProtection="1">
      <alignment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0" fillId="3" borderId="1" xfId="2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0" fillId="0" borderId="0" xfId="0" applyNumberFormat="1"/>
    <xf numFmtId="0" fontId="0" fillId="7" borderId="0" xfId="0" applyFill="1"/>
    <xf numFmtId="0" fontId="2" fillId="7" borderId="0" xfId="0" applyFont="1" applyFill="1"/>
    <xf numFmtId="0" fontId="1" fillId="7" borderId="0" xfId="0" quotePrefix="1" applyFont="1" applyFill="1"/>
    <xf numFmtId="0" fontId="6" fillId="0" borderId="0" xfId="0" applyFont="1" applyAlignment="1">
      <alignment horizontal="right"/>
    </xf>
    <xf numFmtId="43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 hidden="1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horizontal="left" wrapText="1"/>
      <protection locked="0"/>
    </xf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43" fontId="0" fillId="2" borderId="1" xfId="2" applyFont="1" applyFill="1" applyBorder="1" applyAlignment="1">
      <alignment horizontal="center" vertical="center" wrapText="1"/>
    </xf>
    <xf numFmtId="43" fontId="0" fillId="0" borderId="0" xfId="2" applyFont="1"/>
    <xf numFmtId="44" fontId="0" fillId="2" borderId="1" xfId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0" borderId="0" xfId="1" applyFont="1"/>
    <xf numFmtId="7" fontId="0" fillId="0" borderId="0" xfId="1" applyNumberFormat="1" applyFont="1"/>
    <xf numFmtId="2" fontId="0" fillId="4" borderId="1" xfId="0" applyNumberForma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/>
    <xf numFmtId="0" fontId="2" fillId="0" borderId="0" xfId="0" applyFont="1" applyAlignment="1">
      <alignment vertical="center" wrapText="1"/>
    </xf>
    <xf numFmtId="0" fontId="2" fillId="0" borderId="0" xfId="0" quotePrefix="1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2" borderId="4" xfId="0" applyFont="1" applyFill="1" applyBorder="1"/>
    <xf numFmtId="0" fontId="9" fillId="2" borderId="3" xfId="0" applyFont="1" applyFill="1" applyBorder="1"/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/>
    <xf numFmtId="0" fontId="9" fillId="0" borderId="19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wrapText="1"/>
    </xf>
    <xf numFmtId="0" fontId="9" fillId="3" borderId="3" xfId="0" applyFont="1" applyFill="1" applyBorder="1"/>
    <xf numFmtId="0" fontId="9" fillId="3" borderId="6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wrapText="1"/>
    </xf>
    <xf numFmtId="0" fontId="9" fillId="3" borderId="35" xfId="0" applyFont="1" applyFill="1" applyBorder="1" applyAlignment="1">
      <alignment horizontal="center" vertical="center"/>
    </xf>
    <xf numFmtId="0" fontId="9" fillId="0" borderId="16" xfId="0" applyFont="1" applyBorder="1"/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right" vertical="center"/>
    </xf>
    <xf numFmtId="0" fontId="9" fillId="3" borderId="4" xfId="0" applyFont="1" applyFill="1" applyBorder="1"/>
    <xf numFmtId="0" fontId="9" fillId="0" borderId="4" xfId="0" applyFont="1" applyBorder="1"/>
    <xf numFmtId="0" fontId="9" fillId="3" borderId="38" xfId="0" applyFont="1" applyFill="1" applyBorder="1" applyAlignment="1">
      <alignment horizontal="center" vertical="center"/>
    </xf>
    <xf numFmtId="0" fontId="9" fillId="3" borderId="6" xfId="0" quotePrefix="1" applyFont="1" applyFill="1" applyBorder="1" applyAlignment="1">
      <alignment wrapText="1"/>
    </xf>
    <xf numFmtId="0" fontId="9" fillId="3" borderId="6" xfId="0" quotePrefix="1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right" vertical="center"/>
    </xf>
    <xf numFmtId="0" fontId="9" fillId="0" borderId="6" xfId="0" quotePrefix="1" applyFont="1" applyBorder="1" applyAlignment="1">
      <alignment wrapText="1"/>
    </xf>
    <xf numFmtId="0" fontId="9" fillId="0" borderId="6" xfId="0" quotePrefix="1" applyFont="1" applyBorder="1" applyAlignment="1">
      <alignment horizontal="left" vertical="center" wrapText="1"/>
    </xf>
    <xf numFmtId="0" fontId="9" fillId="3" borderId="0" xfId="0" applyFont="1" applyFill="1"/>
    <xf numFmtId="0" fontId="9" fillId="3" borderId="22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2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9" fontId="9" fillId="2" borderId="10" xfId="3" applyFont="1" applyFill="1" applyBorder="1" applyAlignment="1">
      <alignment horizontal="center" vertical="center" wrapText="1"/>
    </xf>
    <xf numFmtId="9" fontId="9" fillId="0" borderId="20" xfId="3" applyFont="1" applyBorder="1" applyAlignment="1">
      <alignment horizontal="right" vertical="center"/>
    </xf>
    <xf numFmtId="9" fontId="9" fillId="3" borderId="7" xfId="3" applyFont="1" applyFill="1" applyBorder="1" applyAlignment="1">
      <alignment horizontal="right" vertical="center"/>
    </xf>
    <xf numFmtId="9" fontId="9" fillId="0" borderId="7" xfId="3" applyFont="1" applyBorder="1" applyAlignment="1">
      <alignment horizontal="right" vertical="center"/>
    </xf>
    <xf numFmtId="9" fontId="9" fillId="3" borderId="23" xfId="3" applyFont="1" applyFill="1" applyBorder="1" applyAlignment="1">
      <alignment horizontal="right" vertical="center"/>
    </xf>
    <xf numFmtId="9" fontId="9" fillId="0" borderId="0" xfId="3" applyFont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3" fontId="0" fillId="0" borderId="0" xfId="2" applyFont="1" applyAlignment="1">
      <alignment wrapText="1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0" fillId="3" borderId="1" xfId="2" applyFont="1" applyFill="1" applyBorder="1" applyAlignment="1" applyProtection="1">
      <alignment vertical="center"/>
    </xf>
    <xf numFmtId="0" fontId="0" fillId="2" borderId="15" xfId="0" applyFill="1" applyBorder="1" applyAlignment="1"/>
    <xf numFmtId="0" fontId="0" fillId="2" borderId="21" xfId="0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4" borderId="0" xfId="0" quotePrefix="1" applyFont="1" applyFill="1" applyAlignment="1">
      <alignment wrapText="1"/>
    </xf>
    <xf numFmtId="7" fontId="0" fillId="0" borderId="0" xfId="0" applyNumberFormat="1"/>
    <xf numFmtId="0" fontId="9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/>
    <xf numFmtId="0" fontId="1" fillId="9" borderId="0" xfId="0" quotePrefix="1" applyFont="1" applyFill="1"/>
    <xf numFmtId="0" fontId="0" fillId="9" borderId="0" xfId="0" quotePrefix="1" applyFill="1"/>
    <xf numFmtId="0" fontId="2" fillId="9" borderId="0" xfId="0" applyFont="1" applyFill="1"/>
    <xf numFmtId="0" fontId="0" fillId="10" borderId="0" xfId="0" applyFill="1"/>
    <xf numFmtId="0" fontId="1" fillId="10" borderId="0" xfId="0" quotePrefix="1" applyFont="1" applyFill="1"/>
    <xf numFmtId="0" fontId="0" fillId="10" borderId="0" xfId="0" quotePrefix="1" applyFill="1"/>
    <xf numFmtId="0" fontId="0" fillId="8" borderId="0" xfId="0" applyFill="1"/>
    <xf numFmtId="0" fontId="1" fillId="8" borderId="0" xfId="0" quotePrefix="1" applyFont="1" applyFill="1"/>
    <xf numFmtId="0" fontId="0" fillId="8" borderId="0" xfId="0" quotePrefix="1" applyFill="1"/>
    <xf numFmtId="0" fontId="2" fillId="8" borderId="0" xfId="0" applyFont="1" applyFill="1"/>
    <xf numFmtId="0" fontId="0" fillId="11" borderId="0" xfId="0" applyFill="1"/>
    <xf numFmtId="0" fontId="2" fillId="11" borderId="0" xfId="0" applyFont="1" applyFill="1"/>
    <xf numFmtId="0" fontId="0" fillId="11" borderId="0" xfId="0" quotePrefix="1" applyFill="1"/>
    <xf numFmtId="0" fontId="11" fillId="3" borderId="35" xfId="0" applyFont="1" applyFill="1" applyBorder="1" applyAlignment="1">
      <alignment horizontal="center" vertical="center"/>
    </xf>
    <xf numFmtId="0" fontId="11" fillId="3" borderId="4" xfId="0" applyFont="1" applyFill="1" applyBorder="1"/>
    <xf numFmtId="0" fontId="11" fillId="3" borderId="3" xfId="0" applyFont="1" applyFill="1" applyBorder="1"/>
    <xf numFmtId="0" fontId="11" fillId="3" borderId="6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3" xfId="0" applyFont="1" applyBorder="1"/>
    <xf numFmtId="0" fontId="11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Fill="1"/>
    <xf numFmtId="0" fontId="1" fillId="0" borderId="0" xfId="0" quotePrefix="1" applyFont="1" applyFill="1" applyAlignment="1">
      <alignment wrapText="1"/>
    </xf>
    <xf numFmtId="0" fontId="0" fillId="0" borderId="0" xfId="0" quotePrefix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9" fontId="9" fillId="0" borderId="7" xfId="3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9" fontId="11" fillId="0" borderId="7" xfId="3" applyFont="1" applyBorder="1" applyAlignment="1">
      <alignment horizontal="right" vertical="center"/>
    </xf>
    <xf numFmtId="9" fontId="11" fillId="3" borderId="7" xfId="3" applyFont="1" applyFill="1" applyBorder="1" applyAlignment="1">
      <alignment horizontal="right" vertical="center"/>
    </xf>
    <xf numFmtId="164" fontId="5" fillId="0" borderId="0" xfId="2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2" fillId="0" borderId="0" xfId="2" applyNumberFormat="1" applyFont="1" applyAlignment="1">
      <alignment horizontal="left"/>
    </xf>
    <xf numFmtId="44" fontId="5" fillId="0" borderId="0" xfId="0" applyNumberFormat="1" applyFont="1" applyAlignment="1"/>
    <xf numFmtId="43" fontId="0" fillId="2" borderId="1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5" borderId="44" xfId="0" applyFill="1" applyBorder="1" applyAlignment="1" applyProtection="1">
      <alignment vertical="center" wrapText="1"/>
      <protection locked="0"/>
    </xf>
    <xf numFmtId="0" fontId="0" fillId="6" borderId="44" xfId="0" applyFill="1" applyBorder="1" applyAlignment="1" applyProtection="1">
      <alignment horizontal="center" vertical="center" wrapText="1"/>
      <protection locked="0"/>
    </xf>
    <xf numFmtId="0" fontId="0" fillId="6" borderId="45" xfId="0" applyFill="1" applyBorder="1" applyAlignment="1" applyProtection="1">
      <alignment horizontal="center" vertical="center" wrapText="1"/>
      <protection locked="0"/>
    </xf>
    <xf numFmtId="43" fontId="0" fillId="3" borderId="46" xfId="2" applyFont="1" applyFill="1" applyBorder="1" applyAlignment="1">
      <alignment vertical="center"/>
    </xf>
    <xf numFmtId="0" fontId="0" fillId="2" borderId="49" xfId="0" applyFill="1" applyBorder="1" applyAlignment="1"/>
    <xf numFmtId="0" fontId="0" fillId="8" borderId="50" xfId="0" applyFill="1" applyBorder="1" applyAlignment="1" applyProtection="1">
      <alignment vertical="center"/>
      <protection locked="0"/>
    </xf>
    <xf numFmtId="0" fontId="0" fillId="12" borderId="52" xfId="0" applyFill="1" applyBorder="1" applyAlignment="1" applyProtection="1">
      <alignment vertical="center"/>
    </xf>
    <xf numFmtId="43" fontId="0" fillId="3" borderId="54" xfId="2" applyFont="1" applyFill="1" applyBorder="1" applyAlignment="1">
      <alignment vertical="center"/>
    </xf>
    <xf numFmtId="164" fontId="0" fillId="4" borderId="56" xfId="2" applyNumberFormat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vertical="center" wrapText="1"/>
    </xf>
    <xf numFmtId="0" fontId="0" fillId="6" borderId="57" xfId="0" applyFill="1" applyBorder="1" applyAlignment="1" applyProtection="1">
      <alignment vertical="center"/>
      <protection locked="0"/>
    </xf>
    <xf numFmtId="0" fontId="0" fillId="5" borderId="43" xfId="0" applyFill="1" applyBorder="1" applyAlignment="1" applyProtection="1">
      <alignment vertical="center" wrapText="1"/>
      <protection locked="0"/>
    </xf>
    <xf numFmtId="0" fontId="0" fillId="3" borderId="44" xfId="0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5" fillId="0" borderId="3" xfId="0" applyFont="1" applyBorder="1" applyAlignment="1">
      <alignment horizontal="right" vertical="center"/>
    </xf>
    <xf numFmtId="164" fontId="5" fillId="0" borderId="4" xfId="2" applyNumberFormat="1" applyFont="1" applyBorder="1" applyAlignment="1"/>
    <xf numFmtId="0" fontId="0" fillId="0" borderId="63" xfId="0" applyBorder="1"/>
    <xf numFmtId="0" fontId="0" fillId="0" borderId="4" xfId="0" applyBorder="1"/>
    <xf numFmtId="164" fontId="12" fillId="0" borderId="3" xfId="2" applyNumberFormat="1" applyFont="1" applyBorder="1" applyAlignment="1">
      <alignment horizontal="left"/>
    </xf>
    <xf numFmtId="0" fontId="0" fillId="12" borderId="44" xfId="0" applyFill="1" applyBorder="1" applyAlignment="1" applyProtection="1">
      <alignment vertical="center"/>
    </xf>
    <xf numFmtId="0" fontId="0" fillId="12" borderId="45" xfId="0" applyFill="1" applyBorder="1" applyAlignment="1" applyProtection="1">
      <alignment horizontal="center" vertical="center" wrapText="1"/>
    </xf>
    <xf numFmtId="0" fontId="0" fillId="12" borderId="51" xfId="0" applyFill="1" applyBorder="1" applyAlignment="1" applyProtection="1">
      <alignment vertical="center"/>
    </xf>
    <xf numFmtId="0" fontId="0" fillId="12" borderId="50" xfId="0" applyFill="1" applyBorder="1" applyAlignment="1" applyProtection="1">
      <alignment vertical="center"/>
    </xf>
    <xf numFmtId="0" fontId="13" fillId="0" borderId="63" xfId="0" applyFont="1" applyBorder="1" applyAlignment="1">
      <alignment horizontal="right" vertical="center"/>
    </xf>
    <xf numFmtId="0" fontId="0" fillId="12" borderId="53" xfId="0" applyFill="1" applyBorder="1" applyAlignment="1" applyProtection="1">
      <alignment vertical="center"/>
    </xf>
    <xf numFmtId="0" fontId="0" fillId="4" borderId="44" xfId="0" applyFill="1" applyBorder="1" applyAlignment="1" applyProtection="1">
      <alignment vertical="center"/>
      <protection locked="0" hidden="1"/>
    </xf>
    <xf numFmtId="0" fontId="15" fillId="13" borderId="47" xfId="0" applyFont="1" applyFill="1" applyBorder="1" applyAlignment="1">
      <alignment horizontal="center"/>
    </xf>
    <xf numFmtId="0" fontId="15" fillId="13" borderId="48" xfId="0" applyFont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15" fillId="9" borderId="59" xfId="0" applyFont="1" applyFill="1" applyBorder="1" applyAlignment="1">
      <alignment horizontal="center"/>
    </xf>
    <xf numFmtId="0" fontId="15" fillId="9" borderId="60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5" fillId="4" borderId="3" xfId="2" applyNumberFormat="1" applyFont="1" applyFill="1" applyBorder="1" applyAlignment="1" applyProtection="1">
      <alignment horizontal="center"/>
      <protection locked="0"/>
    </xf>
    <xf numFmtId="164" fontId="5" fillId="4" borderId="4" xfId="2" applyNumberFormat="1" applyFont="1" applyFill="1" applyBorder="1" applyAlignment="1" applyProtection="1">
      <alignment horizontal="center"/>
      <protection locked="0"/>
    </xf>
    <xf numFmtId="164" fontId="3" fillId="0" borderId="63" xfId="2" applyNumberFormat="1" applyFont="1" applyBorder="1" applyAlignment="1">
      <alignment horizontal="left" vertical="center"/>
    </xf>
    <xf numFmtId="164" fontId="13" fillId="0" borderId="3" xfId="2" applyNumberFormat="1" applyFont="1" applyBorder="1" applyAlignment="1">
      <alignment horizontal="center"/>
    </xf>
    <xf numFmtId="164" fontId="13" fillId="0" borderId="63" xfId="2" applyNumberFormat="1" applyFont="1" applyBorder="1" applyAlignment="1">
      <alignment horizontal="center"/>
    </xf>
    <xf numFmtId="164" fontId="12" fillId="0" borderId="3" xfId="2" applyNumberFormat="1" applyFont="1" applyBorder="1" applyAlignment="1">
      <alignment horizontal="center"/>
    </xf>
    <xf numFmtId="164" fontId="12" fillId="0" borderId="63" xfId="2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3" fillId="0" borderId="4" xfId="2" applyNumberFormat="1" applyFont="1" applyBorder="1" applyAlignment="1">
      <alignment horizontal="left" vertical="center"/>
    </xf>
    <xf numFmtId="43" fontId="0" fillId="0" borderId="63" xfId="0" applyNumberFormat="1" applyBorder="1" applyAlignment="1">
      <alignment horizontal="left" vertical="center"/>
    </xf>
    <xf numFmtId="43" fontId="0" fillId="0" borderId="4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9" fillId="3" borderId="30" xfId="0" quotePrefix="1" applyFont="1" applyFill="1" applyBorder="1" applyAlignment="1">
      <alignment horizontal="center"/>
    </xf>
    <xf numFmtId="0" fontId="9" fillId="3" borderId="24" xfId="0" quotePrefix="1" applyFont="1" applyFill="1" applyBorder="1" applyAlignment="1">
      <alignment horizontal="center"/>
    </xf>
    <xf numFmtId="0" fontId="9" fillId="3" borderId="33" xfId="0" quotePrefix="1" applyFont="1" applyFill="1" applyBorder="1" applyAlignment="1">
      <alignment horizontal="center"/>
    </xf>
    <xf numFmtId="0" fontId="9" fillId="3" borderId="26" xfId="0" quotePrefix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9" xfId="0" quotePrefix="1" applyFont="1" applyFill="1" applyBorder="1" applyAlignment="1">
      <alignment horizontal="center"/>
    </xf>
    <xf numFmtId="0" fontId="9" fillId="3" borderId="21" xfId="0" quotePrefix="1" applyFont="1" applyFill="1" applyBorder="1" applyAlignment="1">
      <alignment horizontal="center"/>
    </xf>
    <xf numFmtId="0" fontId="9" fillId="0" borderId="29" xfId="0" quotePrefix="1" applyFont="1" applyBorder="1" applyAlignment="1">
      <alignment horizontal="center"/>
    </xf>
    <xf numFmtId="0" fontId="9" fillId="0" borderId="21" xfId="0" quotePrefix="1" applyFont="1" applyBorder="1" applyAlignment="1">
      <alignment horizontal="center"/>
    </xf>
    <xf numFmtId="0" fontId="9" fillId="3" borderId="31" xfId="0" quotePrefix="1" applyFont="1" applyFill="1" applyBorder="1" applyAlignment="1">
      <alignment horizontal="center"/>
    </xf>
    <xf numFmtId="0" fontId="9" fillId="3" borderId="32" xfId="0" quotePrefix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0" borderId="2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30" xfId="0" quotePrefix="1" applyFont="1" applyBorder="1" applyAlignment="1">
      <alignment horizontal="center"/>
    </xf>
    <xf numFmtId="0" fontId="9" fillId="0" borderId="24" xfId="0" quotePrefix="1" applyFont="1" applyBorder="1" applyAlignment="1">
      <alignment horizontal="center"/>
    </xf>
    <xf numFmtId="0" fontId="9" fillId="0" borderId="31" xfId="0" quotePrefix="1" applyFont="1" applyBorder="1" applyAlignment="1">
      <alignment horizontal="center"/>
    </xf>
    <xf numFmtId="0" fontId="9" fillId="0" borderId="32" xfId="0" quotePrefix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9" fontId="9" fillId="0" borderId="7" xfId="3" applyFont="1" applyBorder="1" applyAlignment="1">
      <alignment horizontal="right" vertical="center"/>
    </xf>
    <xf numFmtId="9" fontId="9" fillId="3" borderId="7" xfId="3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3" borderId="28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right" vertical="center" wrapText="1"/>
    </xf>
    <xf numFmtId="0" fontId="9" fillId="3" borderId="32" xfId="0" applyFont="1" applyFill="1" applyBorder="1" applyAlignment="1">
      <alignment horizontal="right" vertical="center" wrapText="1"/>
    </xf>
    <xf numFmtId="0" fontId="9" fillId="3" borderId="4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3" borderId="29" xfId="0" quotePrefix="1" applyFont="1" applyFill="1" applyBorder="1" applyAlignment="1">
      <alignment horizontal="center"/>
    </xf>
    <xf numFmtId="0" fontId="11" fillId="3" borderId="21" xfId="0" quotePrefix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152401</xdr:rowOff>
    </xdr:from>
    <xdr:to>
      <xdr:col>0</xdr:col>
      <xdr:colOff>476250</xdr:colOff>
      <xdr:row>13</xdr:row>
      <xdr:rowOff>57150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71450" y="1933576"/>
          <a:ext cx="304800" cy="4762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295275</xdr:colOff>
      <xdr:row>10</xdr:row>
      <xdr:rowOff>95250</xdr:rowOff>
    </xdr:from>
    <xdr:to>
      <xdr:col>2</xdr:col>
      <xdr:colOff>600075</xdr:colOff>
      <xdr:row>13</xdr:row>
      <xdr:rowOff>28575</xdr:rowOff>
    </xdr:to>
    <xdr:sp macro="" textlink="">
      <xdr:nvSpPr>
        <xdr:cNvPr id="3" name="Freccia in su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591050" y="187642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400050</xdr:colOff>
      <xdr:row>10</xdr:row>
      <xdr:rowOff>95250</xdr:rowOff>
    </xdr:from>
    <xdr:to>
      <xdr:col>4</xdr:col>
      <xdr:colOff>704850</xdr:colOff>
      <xdr:row>13</xdr:row>
      <xdr:rowOff>28575</xdr:rowOff>
    </xdr:to>
    <xdr:sp macro="" textlink="">
      <xdr:nvSpPr>
        <xdr:cNvPr id="4" name="Freccia in su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477000" y="187642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457200</xdr:colOff>
      <xdr:row>10</xdr:row>
      <xdr:rowOff>104775</xdr:rowOff>
    </xdr:from>
    <xdr:to>
      <xdr:col>5</xdr:col>
      <xdr:colOff>762000</xdr:colOff>
      <xdr:row>13</xdr:row>
      <xdr:rowOff>38100</xdr:rowOff>
    </xdr:to>
    <xdr:sp macro="" textlink="">
      <xdr:nvSpPr>
        <xdr:cNvPr id="5" name="Freccia in su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7648575" y="1885950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390525</xdr:colOff>
      <xdr:row>10</xdr:row>
      <xdr:rowOff>114300</xdr:rowOff>
    </xdr:from>
    <xdr:to>
      <xdr:col>7</xdr:col>
      <xdr:colOff>695325</xdr:colOff>
      <xdr:row>13</xdr:row>
      <xdr:rowOff>47625</xdr:rowOff>
    </xdr:to>
    <xdr:sp macro="" textlink="">
      <xdr:nvSpPr>
        <xdr:cNvPr id="6" name="Freccia in su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9563100" y="189547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171450</xdr:colOff>
      <xdr:row>10</xdr:row>
      <xdr:rowOff>95250</xdr:rowOff>
    </xdr:from>
    <xdr:to>
      <xdr:col>9</xdr:col>
      <xdr:colOff>476250</xdr:colOff>
      <xdr:row>13</xdr:row>
      <xdr:rowOff>28575</xdr:rowOff>
    </xdr:to>
    <xdr:sp macro="" textlink="">
      <xdr:nvSpPr>
        <xdr:cNvPr id="10" name="Freccia in su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1268075" y="187642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533400</xdr:colOff>
      <xdr:row>10</xdr:row>
      <xdr:rowOff>123825</xdr:rowOff>
    </xdr:from>
    <xdr:to>
      <xdr:col>17</xdr:col>
      <xdr:colOff>171450</xdr:colOff>
      <xdr:row>13</xdr:row>
      <xdr:rowOff>57150</xdr:rowOff>
    </xdr:to>
    <xdr:sp macro="" textlink="">
      <xdr:nvSpPr>
        <xdr:cNvPr id="11" name="Freccia in su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13011150" y="347662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466725</xdr:colOff>
      <xdr:row>10</xdr:row>
      <xdr:rowOff>161925</xdr:rowOff>
    </xdr:from>
    <xdr:to>
      <xdr:col>21</xdr:col>
      <xdr:colOff>171450</xdr:colOff>
      <xdr:row>13</xdr:row>
      <xdr:rowOff>95250</xdr:rowOff>
    </xdr:to>
    <xdr:sp macro="" textlink="">
      <xdr:nvSpPr>
        <xdr:cNvPr id="12" name="Freccia in su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5506700" y="3514725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3</xdr:col>
      <xdr:colOff>50799</xdr:colOff>
      <xdr:row>19</xdr:row>
      <xdr:rowOff>93134</xdr:rowOff>
    </xdr:from>
    <xdr:ext cx="1727201" cy="29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>
              <a:extLst>
                <a:ext uri="{FF2B5EF4-FFF2-40B4-BE49-F238E27FC236}">
                  <a16:creationId xmlns=""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448299" y="5543551"/>
              <a:ext cx="1727201" cy="29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p>
                    <m:sSup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begChr m:val="["/>
                          <m:endChr m:val="]"/>
                          <m:ctrlPr>
                            <a:rPr lang="it-IT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it-IT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it-IT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it-IT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𝑒𝑞</m:t>
                              </m:r>
                            </m:sub>
                          </m:sSub>
                          <m:r>
                            <a:rPr lang="it-IT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×</m:t>
                          </m:r>
                          <m:r>
                            <a:rPr lang="it-IT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𝐾</m:t>
                          </m:r>
                        </m:e>
                      </m:d>
                    </m:e>
                    <m:sup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0,5</m:t>
                      </m:r>
                    </m:sup>
                  </m:sSup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 </m:t>
                  </m:r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𝑋</m:t>
                  </m:r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× </m:t>
                  </m:r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𝑌</m:t>
                  </m:r>
                </m:oMath>
              </a14:m>
              <a:r>
                <a:rPr lang="it-IT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</a:p>
            <a:p>
              <a:endParaRPr lang="it-IT" sz="1100"/>
            </a:p>
          </xdr:txBody>
        </xdr:sp>
      </mc:Choice>
      <mc:Fallback xmlns="">
        <xdr:sp macro="" textlink="">
          <xdr:nvSpPr>
            <xdr:cNvPr id="7" name="CasellaDiTes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59C72E4-2F02-4F51-8D92-38849B04630C}"/>
                </a:ext>
              </a:extLst>
            </xdr:cNvPr>
            <xdr:cNvSpPr txBox="1"/>
          </xdr:nvSpPr>
          <xdr:spPr>
            <a:xfrm>
              <a:off x="5448299" y="5543551"/>
              <a:ext cx="1727201" cy="29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𝐺_𝑖=[𝑆_𝑒𝑞×𝐾]^0,5× 𝑋 × 𝑌</a:t>
              </a:r>
              <a:r>
                <a:rPr lang="it-IT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</a:p>
            <a:p>
              <a:endParaRPr lang="it-IT" sz="1100"/>
            </a:p>
          </xdr:txBody>
        </xdr:sp>
      </mc:Fallback>
    </mc:AlternateContent>
    <xdr:clientData/>
  </xdr:oneCellAnchor>
  <xdr:oneCellAnchor>
    <xdr:from>
      <xdr:col>3</xdr:col>
      <xdr:colOff>615949</xdr:colOff>
      <xdr:row>20</xdr:row>
      <xdr:rowOff>139701</xdr:rowOff>
    </xdr:from>
    <xdr:ext cx="1727201" cy="29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sellaDiTesto 12">
              <a:extLst>
                <a:ext uri="{FF2B5EF4-FFF2-40B4-BE49-F238E27FC236}">
                  <a16:creationId xmlns=""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6013449" y="6024034"/>
              <a:ext cx="1727201" cy="29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.</m:t>
                  </m:r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𝐷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it-IT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it-IT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</a:p>
          </xdr:txBody>
        </xdr:sp>
      </mc:Choice>
      <mc:Fallback xmlns="">
        <xdr:sp macro="" textlink="">
          <xdr:nvSpPr>
            <xdr:cNvPr id="13" name="CasellaDiTes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B14DA541-6991-4D51-8FBB-D6D77D73B63C}"/>
                </a:ext>
              </a:extLst>
            </xdr:cNvPr>
            <xdr:cNvSpPr txBox="1"/>
          </xdr:nvSpPr>
          <xdr:spPr>
            <a:xfrm>
              <a:off x="6013449" y="6024034"/>
              <a:ext cx="1727201" cy="29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ℎ_𝑖=𝐺_𝑖  .𝐴_𝑖∙𝐷_𝑖∙𝐼_𝑖</a:t>
              </a:r>
              <a:r>
                <a:rPr lang="it-IT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259080</xdr:colOff>
          <xdr:row>23</xdr:row>
          <xdr:rowOff>0</xdr:rowOff>
        </xdr:from>
        <xdr:to>
          <xdr:col>5</xdr:col>
          <xdr:colOff>548640</xdr:colOff>
          <xdr:row>23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it-IT" sz="1600" b="0" i="0" u="none" strike="noStrike" baseline="0">
                  <a:solidFill>
                    <a:srgbClr val="FF0000"/>
                  </a:solidFill>
                  <a:latin typeface="Calibri"/>
                </a:rPr>
                <a:t>ARCHIVIA RISULTATO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53340</xdr:colOff>
          <xdr:row>23</xdr:row>
          <xdr:rowOff>0</xdr:rowOff>
        </xdr:from>
        <xdr:to>
          <xdr:col>19</xdr:col>
          <xdr:colOff>220980</xdr:colOff>
          <xdr:row>23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AGGIUNGI ATTIVITA'</a:t>
              </a:r>
            </a:p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(le attività aggiunte vengono inserite nella cartella Multiattività)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10</xdr:row>
      <xdr:rowOff>85725</xdr:rowOff>
    </xdr:from>
    <xdr:to>
      <xdr:col>1</xdr:col>
      <xdr:colOff>457200</xdr:colOff>
      <xdr:row>13</xdr:row>
      <xdr:rowOff>19050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52400" y="2209800"/>
          <a:ext cx="304800" cy="476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276225</xdr:colOff>
      <xdr:row>10</xdr:row>
      <xdr:rowOff>28575</xdr:rowOff>
    </xdr:from>
    <xdr:to>
      <xdr:col>3</xdr:col>
      <xdr:colOff>581025</xdr:colOff>
      <xdr:row>12</xdr:row>
      <xdr:rowOff>152400</xdr:rowOff>
    </xdr:to>
    <xdr:sp macro="" textlink="">
      <xdr:nvSpPr>
        <xdr:cNvPr id="3" name="Freccia in su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81563" y="2152650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381000</xdr:colOff>
      <xdr:row>10</xdr:row>
      <xdr:rowOff>28575</xdr:rowOff>
    </xdr:from>
    <xdr:to>
      <xdr:col>5</xdr:col>
      <xdr:colOff>685800</xdr:colOff>
      <xdr:row>12</xdr:row>
      <xdr:rowOff>152400</xdr:rowOff>
    </xdr:to>
    <xdr:sp macro="" textlink="">
      <xdr:nvSpPr>
        <xdr:cNvPr id="4" name="Freccia in su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6896100" y="2152650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438150</xdr:colOff>
      <xdr:row>10</xdr:row>
      <xdr:rowOff>38100</xdr:rowOff>
    </xdr:from>
    <xdr:to>
      <xdr:col>6</xdr:col>
      <xdr:colOff>742950</xdr:colOff>
      <xdr:row>12</xdr:row>
      <xdr:rowOff>161925</xdr:rowOff>
    </xdr:to>
    <xdr:sp macro="" textlink="">
      <xdr:nvSpPr>
        <xdr:cNvPr id="5" name="Freccia in su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8148638" y="2162175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371475</xdr:colOff>
      <xdr:row>10</xdr:row>
      <xdr:rowOff>47625</xdr:rowOff>
    </xdr:from>
    <xdr:to>
      <xdr:col>8</xdr:col>
      <xdr:colOff>676275</xdr:colOff>
      <xdr:row>12</xdr:row>
      <xdr:rowOff>171450</xdr:rowOff>
    </xdr:to>
    <xdr:sp macro="" textlink="">
      <xdr:nvSpPr>
        <xdr:cNvPr id="6" name="Freccia in su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206038" y="2171700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85725</xdr:colOff>
      <xdr:row>13</xdr:row>
      <xdr:rowOff>28575</xdr:rowOff>
    </xdr:from>
    <xdr:to>
      <xdr:col>9</xdr:col>
      <xdr:colOff>647700</xdr:colOff>
      <xdr:row>14</xdr:row>
      <xdr:rowOff>133350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1215688" y="2695575"/>
          <a:ext cx="56197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438150</xdr:colOff>
      <xdr:row>15</xdr:row>
      <xdr:rowOff>152400</xdr:rowOff>
    </xdr:from>
    <xdr:to>
      <xdr:col>5</xdr:col>
      <xdr:colOff>742950</xdr:colOff>
      <xdr:row>18</xdr:row>
      <xdr:rowOff>9525</xdr:rowOff>
    </xdr:to>
    <xdr:sp macro="" textlink="">
      <xdr:nvSpPr>
        <xdr:cNvPr id="8" name="Freccia in su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/>
      </xdr:nvSpPr>
      <xdr:spPr>
        <a:xfrm rot="10800000">
          <a:off x="7134225" y="5695950"/>
          <a:ext cx="304800" cy="504825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85725</xdr:rowOff>
    </xdr:from>
    <xdr:to>
      <xdr:col>0</xdr:col>
      <xdr:colOff>457200</xdr:colOff>
      <xdr:row>8</xdr:row>
      <xdr:rowOff>19050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52400" y="2209800"/>
          <a:ext cx="304800" cy="476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276225</xdr:colOff>
      <xdr:row>5</xdr:row>
      <xdr:rowOff>28575</xdr:rowOff>
    </xdr:from>
    <xdr:to>
      <xdr:col>2</xdr:col>
      <xdr:colOff>581025</xdr:colOff>
      <xdr:row>7</xdr:row>
      <xdr:rowOff>152400</xdr:rowOff>
    </xdr:to>
    <xdr:sp macro="" textlink="">
      <xdr:nvSpPr>
        <xdr:cNvPr id="3" name="Freccia in su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4881563" y="2152650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485775</xdr:colOff>
      <xdr:row>5</xdr:row>
      <xdr:rowOff>66675</xdr:rowOff>
    </xdr:from>
    <xdr:to>
      <xdr:col>4</xdr:col>
      <xdr:colOff>790575</xdr:colOff>
      <xdr:row>8</xdr:row>
      <xdr:rowOff>0</xdr:rowOff>
    </xdr:to>
    <xdr:sp macro="" textlink="">
      <xdr:nvSpPr>
        <xdr:cNvPr id="4" name="Freccia in su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6572250" y="2228850"/>
          <a:ext cx="3048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438150</xdr:colOff>
      <xdr:row>5</xdr:row>
      <xdr:rowOff>38100</xdr:rowOff>
    </xdr:from>
    <xdr:to>
      <xdr:col>5</xdr:col>
      <xdr:colOff>742950</xdr:colOff>
      <xdr:row>7</xdr:row>
      <xdr:rowOff>161925</xdr:rowOff>
    </xdr:to>
    <xdr:sp macro="" textlink="">
      <xdr:nvSpPr>
        <xdr:cNvPr id="5" name="Freccia in su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8148638" y="2162175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371475</xdr:colOff>
      <xdr:row>5</xdr:row>
      <xdr:rowOff>47625</xdr:rowOff>
    </xdr:from>
    <xdr:to>
      <xdr:col>7</xdr:col>
      <xdr:colOff>676275</xdr:colOff>
      <xdr:row>7</xdr:row>
      <xdr:rowOff>171450</xdr:rowOff>
    </xdr:to>
    <xdr:sp macro="" textlink="">
      <xdr:nvSpPr>
        <xdr:cNvPr id="6" name="Freccia in su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10206038" y="2171700"/>
          <a:ext cx="304800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85725</xdr:colOff>
      <xdr:row>8</xdr:row>
      <xdr:rowOff>28575</xdr:rowOff>
    </xdr:from>
    <xdr:to>
      <xdr:col>8</xdr:col>
      <xdr:colOff>647700</xdr:colOff>
      <xdr:row>9</xdr:row>
      <xdr:rowOff>133350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11215688" y="2695575"/>
          <a:ext cx="56197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4</xdr:row>
          <xdr:rowOff>83820</xdr:rowOff>
        </xdr:from>
        <xdr:to>
          <xdr:col>1</xdr:col>
          <xdr:colOff>2811780</xdr:colOff>
          <xdr:row>7</xdr:row>
          <xdr:rowOff>53340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</a:rPr>
                <a:t>CONVALIDA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U49"/>
  <sheetViews>
    <sheetView showGridLines="0" tabSelected="1" workbookViewId="0">
      <selection activeCell="E4" sqref="E4"/>
    </sheetView>
  </sheetViews>
  <sheetFormatPr defaultColWidth="9" defaultRowHeight="14.4"/>
  <cols>
    <col min="2" max="2" width="55.44140625" customWidth="1"/>
    <col min="3" max="3" width="16.44140625" customWidth="1"/>
    <col min="4" max="4" width="10.33203125" style="7" customWidth="1"/>
    <col min="5" max="5" width="16.6640625" bestFit="1" customWidth="1"/>
    <col min="6" max="6" width="19.109375" customWidth="1"/>
    <col min="7" max="7" width="10.5546875" customWidth="1"/>
    <col min="8" max="8" width="18.109375" customWidth="1"/>
    <col min="9" max="11" width="10.6640625" customWidth="1"/>
    <col min="12" max="12" width="10.5546875" customWidth="1"/>
    <col min="13" max="15" width="10.6640625" customWidth="1"/>
    <col min="16" max="16" width="10" bestFit="1" customWidth="1"/>
    <col min="17" max="18" width="10" customWidth="1"/>
    <col min="19" max="19" width="9.44140625" customWidth="1"/>
    <col min="20" max="26" width="9" customWidth="1"/>
    <col min="27" max="29" width="9" hidden="1" customWidth="1"/>
    <col min="30" max="30" width="9.109375" hidden="1" customWidth="1"/>
    <col min="31" max="33" width="9" hidden="1" customWidth="1"/>
    <col min="34" max="34" width="13.44140625" hidden="1" customWidth="1"/>
    <col min="35" max="35" width="9.6640625" hidden="1" customWidth="1"/>
    <col min="36" max="45" width="9" hidden="1" customWidth="1"/>
    <col min="46" max="46" width="9" customWidth="1"/>
    <col min="47" max="47" width="16.44140625" customWidth="1"/>
    <col min="48" max="92" width="9" customWidth="1"/>
  </cols>
  <sheetData>
    <row r="1" spans="1:47" ht="18.600000000000001" thickBot="1">
      <c r="C1" s="235" t="s">
        <v>372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7"/>
      <c r="Q1" s="230" t="s">
        <v>373</v>
      </c>
      <c r="R1" s="230"/>
      <c r="S1" s="230"/>
      <c r="T1" s="230"/>
      <c r="U1" s="230"/>
      <c r="V1" s="230"/>
      <c r="W1" s="230"/>
      <c r="X1" s="230"/>
      <c r="Y1" s="231"/>
    </row>
    <row r="2" spans="1:47">
      <c r="C2" s="232" t="s">
        <v>268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238" t="s">
        <v>315</v>
      </c>
      <c r="R2" s="239"/>
      <c r="S2" s="240" t="s">
        <v>308</v>
      </c>
      <c r="T2" s="238"/>
      <c r="U2" s="238"/>
      <c r="V2" s="238"/>
      <c r="W2" s="239"/>
      <c r="X2" s="148"/>
      <c r="Y2" s="207"/>
    </row>
    <row r="3" spans="1:47" ht="48.75" customHeight="1">
      <c r="A3" s="53" t="s">
        <v>10</v>
      </c>
      <c r="B3" s="68" t="s">
        <v>3</v>
      </c>
      <c r="C3" s="201" t="s">
        <v>239</v>
      </c>
      <c r="D3" s="68" t="s">
        <v>14</v>
      </c>
      <c r="E3" s="200" t="s">
        <v>241</v>
      </c>
      <c r="F3" s="53" t="s">
        <v>242</v>
      </c>
      <c r="G3" s="53" t="s">
        <v>243</v>
      </c>
      <c r="H3" s="53" t="s">
        <v>244</v>
      </c>
      <c r="I3" s="53" t="s">
        <v>245</v>
      </c>
      <c r="J3" s="53" t="s">
        <v>357</v>
      </c>
      <c r="K3" s="68" t="s">
        <v>358</v>
      </c>
      <c r="L3" s="68" t="s">
        <v>359</v>
      </c>
      <c r="M3" s="68" t="s">
        <v>360</v>
      </c>
      <c r="N3" s="68" t="s">
        <v>361</v>
      </c>
      <c r="O3" s="68" t="s">
        <v>362</v>
      </c>
      <c r="P3" s="202" t="s">
        <v>371</v>
      </c>
      <c r="Q3" s="200" t="s">
        <v>307</v>
      </c>
      <c r="R3" s="70" t="s">
        <v>309</v>
      </c>
      <c r="S3" s="69" t="s">
        <v>367</v>
      </c>
      <c r="T3" s="53" t="s">
        <v>375</v>
      </c>
      <c r="U3" s="53" t="s">
        <v>376</v>
      </c>
      <c r="V3" s="53" t="s">
        <v>377</v>
      </c>
      <c r="W3" s="70" t="s">
        <v>378</v>
      </c>
      <c r="X3" s="149" t="s">
        <v>379</v>
      </c>
      <c r="Y3" s="202" t="s">
        <v>374</v>
      </c>
      <c r="AF3" s="1" t="s">
        <v>17</v>
      </c>
      <c r="AG3" s="1" t="s">
        <v>18</v>
      </c>
      <c r="AH3" s="1" t="s">
        <v>19</v>
      </c>
      <c r="AI3" s="1" t="s">
        <v>22</v>
      </c>
      <c r="AJ3" s="1" t="s">
        <v>23</v>
      </c>
      <c r="AK3" s="1" t="s">
        <v>24</v>
      </c>
      <c r="AL3" s="1" t="s">
        <v>25</v>
      </c>
      <c r="AM3" s="1" t="s">
        <v>26</v>
      </c>
      <c r="AN3" s="3" t="s">
        <v>31</v>
      </c>
      <c r="AO3" s="3" t="s">
        <v>32</v>
      </c>
      <c r="AP3" s="3" t="s">
        <v>79</v>
      </c>
      <c r="AQ3" s="3" t="s">
        <v>80</v>
      </c>
      <c r="AR3" s="3" t="s">
        <v>195</v>
      </c>
      <c r="AS3" s="3" t="s">
        <v>194</v>
      </c>
    </row>
    <row r="4" spans="1:47" s="4" customFormat="1" ht="110.25" customHeight="1" thickBot="1">
      <c r="A4" s="28">
        <v>75</v>
      </c>
      <c r="B4" s="212" t="str">
        <f>+VLOOKUP($A4,TabAtt,2,FALSE)</f>
        <v>Autorimesse pubbliche e private, parcheggi pluriplano e meccanizzati di superficie complessiva superiore a 300 m2; locali adibiti al ricovero di natanti ed aeromobili di superficie superiore a 500 m2; depositi di mezzi rotabili al chiuso (treni, tram ecc.) di superficie superiore a 1000 m2</v>
      </c>
      <c r="C4" s="214" t="s">
        <v>48</v>
      </c>
      <c r="D4" s="215" t="str">
        <f ca="1">+VLOOKUP(C4,INDIRECT(ADDRESS(AF4,4,1,,"PARAMETRI ATTIVITA") &amp; ":" &amp; +ADDRESS(AF4+5,12,1,,)),2,FALSE)</f>
        <v>m²</v>
      </c>
      <c r="E4" s="211"/>
      <c r="F4" s="203" t="s">
        <v>255</v>
      </c>
      <c r="G4" s="229"/>
      <c r="H4" s="203" t="s">
        <v>164</v>
      </c>
      <c r="I4" s="223"/>
      <c r="J4" s="204" t="s">
        <v>203</v>
      </c>
      <c r="K4" s="205" t="s">
        <v>271</v>
      </c>
      <c r="L4" s="205" t="s">
        <v>271</v>
      </c>
      <c r="M4" s="224"/>
      <c r="N4" s="224" t="s">
        <v>271</v>
      </c>
      <c r="O4" s="224"/>
      <c r="P4" s="206">
        <f ca="1">+PARHF1</f>
        <v>0</v>
      </c>
      <c r="Q4" s="213" t="s">
        <v>270</v>
      </c>
      <c r="R4" s="208" t="s">
        <v>278</v>
      </c>
      <c r="S4" s="225"/>
      <c r="T4" s="209"/>
      <c r="U4" s="209"/>
      <c r="V4" s="209"/>
      <c r="W4" s="226"/>
      <c r="X4" s="228"/>
      <c r="Y4" s="210">
        <f ca="1">+PARHF2</f>
        <v>0</v>
      </c>
      <c r="AF4" s="5">
        <f>+VLOOKUP($A4,TabAtt,3,FALSE)</f>
        <v>107</v>
      </c>
      <c r="AG4" s="5">
        <f>+VLOOKUP($A4+1,TabAtt,3,FALSE)-AF4</f>
        <v>2</v>
      </c>
      <c r="AH4" s="5" t="str">
        <f>+ADDRESS(AF4,4,1,,"PARAMETRI ATTIVITA")</f>
        <v>'PARAMETRI ATTIVITA'!$D$107</v>
      </c>
      <c r="AI4" s="6">
        <f ca="1">+IF(E10="",VLOOKUP(C4,INDIRECT(ADDRESS(AF4,4,1,,"PARAMETRI ATTIVITA") &amp; ":" &amp; +ADDRESS(AF4+5,12,1,,)),3,FALSE),E10)</f>
        <v>6</v>
      </c>
      <c r="AJ4" s="5" t="str">
        <f>+ADDRESS(AF4,7,1,,"PARAMETRI ATTIVITA")</f>
        <v>'PARAMETRI ATTIVITA'!$G$107</v>
      </c>
      <c r="AK4" s="5">
        <f ca="1">+IF(G8="",IF(AU4="F",IF(G4= 0, 1, IF((G4*AP4-AQ4)/G4&lt;=1,1,(G4*AP4-AQ4)/G4)),AU4),G8)</f>
        <v>1</v>
      </c>
      <c r="AL4" s="5" t="str">
        <f>+ADDRESS(AF4,9,1,,"PARAMETRI ATTIVITA")</f>
        <v>'PARAMETRI ATTIVITA'!$I$107</v>
      </c>
      <c r="AM4" s="5">
        <f ca="1">+IF(I8="",IF(A4=68,1,VLOOKUP(H4,INDIRECT(ADDRESS(AF4,9,1,,"PARAMETRI ATTIVITA") &amp; ":" &amp; +ADDRESS(AF4+5,108,1,,)),2,FALSE)),I8)</f>
        <v>1</v>
      </c>
      <c r="AN4" s="4">
        <f ca="1">+IF(E6="",VLOOKUP(C4,INDIRECT(ADDRESS(AF4,4,1,,"PARAMETRI ATTIVITA") &amp; ":" &amp; +ADDRESS(AF4+5,12,1,,)),8,FALSE),E6)</f>
        <v>1000</v>
      </c>
      <c r="AO4" s="4">
        <f ca="1">+IF(E8="",VLOOKUP(C4,INDIRECT(ADDRESS(AF4,4,1,,"PARAMETRI ATTIVITA") &amp; ":" &amp; +ADDRESS(AF4+5,12,1,,)),9,FALSE),E8)</f>
        <v>0.4</v>
      </c>
      <c r="AP4" s="4">
        <f>+IF(ISERROR(VLOOKUP($A4,TabAtt,13,FALSE))=FALSE,VLOOKUP($A4,TabAtt,13,FALSE),1)</f>
        <v>2</v>
      </c>
      <c r="AQ4" s="4">
        <f>+IF(ISERROR(VLOOKUP($A4,TabAtt,14,FALSE))=FALSE,VLOOKUP($A4,TabAtt,14,FALSE),1)</f>
        <v>0.8</v>
      </c>
      <c r="AR4" s="4">
        <f>+E4</f>
        <v>0</v>
      </c>
      <c r="AS4" s="4">
        <f ca="1">+IF(A4=68,G4*VLOOKUP(F4,INDIRECT(ADDRESS(AF4,7,1,,"PARAMETRI ATTIVITA") &amp; ":" &amp; +ADDRESS(AF4+5,8,1,,)),2,FALSE)+I4*VLOOKUP(H4,INDIRECT(ADDRESS(AF4,9,1,,"PARAMETRI ATTIVITA") &amp; ":" &amp; +ADDRESS(AF4+5,108,1,,)),2,FALSE),0)</f>
        <v>0</v>
      </c>
      <c r="AU4" s="4" t="str">
        <f ca="1">+IF(A4=68,"1",VLOOKUP(F4,INDIRECT(ADDRESS(AF4,7,1,,"PARAMETRI ATTIVITA") &amp; ":" &amp; +ADDRESS(AF4+5,8,1,,)),2,FALSE))</f>
        <v>F</v>
      </c>
    </row>
    <row r="5" spans="1:47" hidden="1">
      <c r="D5" s="12" t="str">
        <f ca="1">+"Limite superiore ["&amp; D4 &amp; "] ="</f>
        <v>Limite superiore [m²] =</v>
      </c>
      <c r="E5">
        <f ca="1">+INDIRECT(ADDRESS(AF4,11,1,,"PARAMETRI ATTIVITA"))</f>
        <v>1000</v>
      </c>
      <c r="F5" s="15" t="s">
        <v>85</v>
      </c>
      <c r="G5" t="str">
        <f ca="1">+INDIRECT(ADDRESS(AF4,15,1,,"PARAMETRI ATTIVITA"))</f>
        <v>Y = (2P-1)/P [curva asintotica verso 2]</v>
      </c>
      <c r="O5">
        <f>1+0.2*O4</f>
        <v>1</v>
      </c>
      <c r="Q5">
        <f>+IF(Q4="SI",Q8,0)</f>
        <v>1</v>
      </c>
      <c r="R5">
        <f>+IF(R4="A",R8,1)</f>
        <v>0.8</v>
      </c>
      <c r="S5">
        <f>+IF(S4="SI",1,0)</f>
        <v>0</v>
      </c>
      <c r="T5">
        <f>+IF(S4="SI",1,0)</f>
        <v>0</v>
      </c>
      <c r="U5">
        <f>+IF(S4="SI",1,0)</f>
        <v>0</v>
      </c>
      <c r="W5">
        <f>+IF(W4="SI",1,0)</f>
        <v>0</v>
      </c>
      <c r="X5">
        <f>+IF(X4="SI",IF(R4="A",0,1),0)</f>
        <v>0</v>
      </c>
      <c r="Y5">
        <f t="shared" ref="Y5" ca="1" si="0">+IF(Y4="SI",Y8,0)</f>
        <v>0</v>
      </c>
      <c r="AF5" s="1">
        <f ca="1">+VLOOKUP(C4,INDIRECT(ADDRESS(AF4,4,1,,"PARAMETRI ATTIVITA") &amp; ":" &amp; +ADDRESS(AF4+5,20,1,,)),16,FALSE)</f>
        <v>107</v>
      </c>
      <c r="AG5" s="1"/>
      <c r="AH5" s="1" t="str">
        <f>+ADDRESS(AF4,4,1,,"PARAMETRI ATTIVITA") &amp; ":" &amp; +ADDRESS(AF4+5,12,1,,)</f>
        <v>'PARAMETRI ATTIVITA'!$D$107:$L$112</v>
      </c>
      <c r="AI5" s="1"/>
      <c r="AJ5" s="1"/>
      <c r="AK5" s="1"/>
      <c r="AL5" s="1"/>
      <c r="AM5" s="1"/>
    </row>
    <row r="6" spans="1:47" hidden="1">
      <c r="D6" s="45" t="str">
        <f ca="1">+"Modifica Limite superiore ["&amp; D4 &amp; "] ="</f>
        <v>Modifica Limite superiore [m²] =</v>
      </c>
      <c r="E6" s="52"/>
      <c r="F6" s="15"/>
      <c r="T6">
        <f>+IF(T4=0,0,1)</f>
        <v>0</v>
      </c>
      <c r="U6">
        <f>+IF(U4=0,0,1)</f>
        <v>0</v>
      </c>
      <c r="V6">
        <f>+IF(V4=0,0,1)</f>
        <v>0</v>
      </c>
      <c r="AF6" s="1"/>
      <c r="AG6" s="1"/>
      <c r="AH6" s="1"/>
      <c r="AI6" s="1"/>
      <c r="AJ6" s="1"/>
      <c r="AK6" s="1"/>
      <c r="AL6" s="1"/>
      <c r="AM6" s="1"/>
    </row>
    <row r="7" spans="1:47" hidden="1">
      <c r="D7" s="12" t="str">
        <f ca="1">+"Calcolo dell'eccedenza dei ["&amp; D4 &amp; "] ="</f>
        <v>Calcolo dell'eccedenza dei [m²] =</v>
      </c>
      <c r="E7">
        <f ca="1">+INDIRECT(ADDRESS(AF4,12,1,,"PARAMETRI ATTIVITA"))</f>
        <v>0.4</v>
      </c>
      <c r="F7" t="s">
        <v>196</v>
      </c>
      <c r="G7" s="36">
        <f ca="1">+AK4</f>
        <v>1</v>
      </c>
      <c r="H7" t="s">
        <v>197</v>
      </c>
      <c r="I7">
        <f ca="1">+AM4</f>
        <v>1</v>
      </c>
      <c r="Q7" t="s">
        <v>272</v>
      </c>
      <c r="R7" t="s">
        <v>281</v>
      </c>
      <c r="S7" t="s">
        <v>273</v>
      </c>
      <c r="T7" t="s">
        <v>274</v>
      </c>
      <c r="U7" t="s">
        <v>275</v>
      </c>
      <c r="V7" t="s">
        <v>317</v>
      </c>
      <c r="W7" t="s">
        <v>277</v>
      </c>
      <c r="X7" t="s">
        <v>276</v>
      </c>
      <c r="AF7" s="1"/>
      <c r="AG7" s="1"/>
      <c r="AH7" s="1" t="s">
        <v>336</v>
      </c>
      <c r="AI7" s="1">
        <f ca="1">IF(AN4=0,+SQRT(AR4*AI4)*AK4*AM4,IF(AR4-AN4&lt;0,+SQRT((AR4+AS4)*AI4)*AK4*AM4,SQRT((AN4+AS4+(AR4-AN4)*AO4)*AI4)*AK4*AM4))</f>
        <v>0</v>
      </c>
      <c r="AJ7" s="1"/>
      <c r="AK7" s="1"/>
      <c r="AL7" s="1"/>
      <c r="AM7" s="1"/>
      <c r="AO7" t="e">
        <f>+(G4*AP4-AQ4)/G4</f>
        <v>#DIV/0!</v>
      </c>
    </row>
    <row r="8" spans="1:47" hidden="1">
      <c r="D8" s="45" t="s">
        <v>227</v>
      </c>
      <c r="E8" s="52"/>
      <c r="F8" s="49" t="s">
        <v>266</v>
      </c>
      <c r="G8" s="66"/>
      <c r="H8" s="49" t="s">
        <v>267</v>
      </c>
      <c r="I8" s="66"/>
      <c r="Q8" s="66">
        <v>1</v>
      </c>
      <c r="R8" s="52">
        <v>0.8</v>
      </c>
      <c r="S8" s="145">
        <v>0.5</v>
      </c>
      <c r="T8" s="147">
        <f>+IF(S4="SI",T9+3*SQRT(T4)+2*T4,T10+6*T4)*T6</f>
        <v>0</v>
      </c>
      <c r="U8" s="147">
        <f>+IF(S4="SI",U9+6*SQRT(U4)+2*U4,U10+10*U4)*U6</f>
        <v>0</v>
      </c>
      <c r="V8" s="147">
        <f>V9*V4</f>
        <v>0</v>
      </c>
      <c r="W8" s="146">
        <v>0.75</v>
      </c>
      <c r="X8" s="147">
        <f>+IF(S4="SI",X9,IF(Q4="SI",X9,X10))</f>
        <v>0.15</v>
      </c>
      <c r="AF8" s="1"/>
      <c r="AG8" s="1"/>
      <c r="AH8" s="1" t="s">
        <v>337</v>
      </c>
      <c r="AI8" s="1">
        <f>+PRODUCT(AI37:AL37)</f>
        <v>1.5</v>
      </c>
      <c r="AJ8" s="1"/>
      <c r="AK8" s="1" t="s">
        <v>364</v>
      </c>
      <c r="AL8" s="1">
        <f>+IF(L4="SI",(1+0.05*M4),1)</f>
        <v>1</v>
      </c>
      <c r="AM8" s="1"/>
    </row>
    <row r="9" spans="1:47" hidden="1">
      <c r="D9" s="12" t="s">
        <v>193</v>
      </c>
      <c r="E9">
        <f ca="1">+AI4</f>
        <v>6</v>
      </c>
      <c r="S9" t="s">
        <v>318</v>
      </c>
      <c r="T9" s="52">
        <v>4</v>
      </c>
      <c r="U9" s="52">
        <v>4</v>
      </c>
      <c r="V9" s="52">
        <v>30</v>
      </c>
      <c r="X9" s="52">
        <v>0.15</v>
      </c>
      <c r="AF9" s="1"/>
      <c r="AG9" s="1"/>
      <c r="AH9" s="1" t="s">
        <v>369</v>
      </c>
      <c r="AI9" s="1">
        <f ca="1">+PARG*AI8*AL8*AL9</f>
        <v>0</v>
      </c>
      <c r="AJ9" s="1"/>
      <c r="AK9" s="1" t="s">
        <v>365</v>
      </c>
      <c r="AL9" s="1">
        <f>++IF(L4="SI",IF(N4="SI",1.4*(1+O4*0.2),1),1)</f>
        <v>1</v>
      </c>
      <c r="AM9" s="1"/>
    </row>
    <row r="10" spans="1:47" hidden="1">
      <c r="D10" s="45" t="s">
        <v>228</v>
      </c>
      <c r="E10" s="52"/>
      <c r="S10" t="s">
        <v>319</v>
      </c>
      <c r="T10" s="52">
        <v>10</v>
      </c>
      <c r="U10" s="52">
        <v>10</v>
      </c>
      <c r="V10" s="52">
        <v>30</v>
      </c>
      <c r="X10" s="52">
        <v>0.25</v>
      </c>
      <c r="AF10" s="1" t="s">
        <v>269</v>
      </c>
      <c r="AG10" s="1"/>
      <c r="AH10" s="1" t="s">
        <v>370</v>
      </c>
      <c r="AI10" s="1">
        <f ca="1">IF(Q4="NO",+SUM(AI12:AI16),R5*PARG+AI16)</f>
        <v>0</v>
      </c>
      <c r="AJ10" s="1"/>
      <c r="AK10" s="1"/>
      <c r="AL10" s="1"/>
      <c r="AM10" s="1"/>
    </row>
    <row r="11" spans="1:47">
      <c r="AF11" s="1"/>
      <c r="AG11" s="1"/>
      <c r="AH11" s="1"/>
      <c r="AI11" s="1"/>
      <c r="AJ11" s="1"/>
      <c r="AK11" s="1"/>
      <c r="AL11" s="1"/>
      <c r="AM11" s="1"/>
      <c r="AP11" t="b">
        <f>+ISERROR(VLOOKUP($A4,TabAtt,13,FALSE))</f>
        <v>0</v>
      </c>
    </row>
    <row r="12" spans="1:47">
      <c r="AF12" s="1"/>
      <c r="AG12" s="1"/>
      <c r="AH12" s="1" t="s">
        <v>366</v>
      </c>
      <c r="AI12" s="1">
        <f ca="1">+S5*S8*PARG</f>
        <v>0</v>
      </c>
      <c r="AJ12" s="1" t="str">
        <f ca="1">+IF(AI12&gt;0,IF(SUM(AI13:AI16)&gt;0,"B1 + ","B1 ="),"")</f>
        <v/>
      </c>
      <c r="AK12" s="1" t="str">
        <f ca="1">+IF(AI12&gt;0,IF(SUM(AI13:AI16)&gt;0,TEXT(AI12,"#0,0#") &amp; " +",TEXT(AI12,"#0,0#") &amp; "="),"")</f>
        <v/>
      </c>
      <c r="AL12" s="1"/>
      <c r="AM12" s="1"/>
    </row>
    <row r="13" spans="1:47" ht="20.399999999999999">
      <c r="AF13" s="1"/>
      <c r="AG13" s="1"/>
      <c r="AH13" s="1" t="s">
        <v>381</v>
      </c>
      <c r="AI13" s="199">
        <f>+SUM(T8:U8)</f>
        <v>0</v>
      </c>
      <c r="AJ13" s="1" t="str">
        <f>+IF(AI13&gt;0,IF(SUM(AI14:AI16)&gt;0,"B2 + ","B2 = "),"")</f>
        <v/>
      </c>
      <c r="AK13" s="1" t="str">
        <f>+IF(AI13&gt;0,IF(SUM(AI14:AI16)&gt;0,TEXT(AI13,"#0,0#") &amp; " + ",TEXT(AI13,"#0,0#") &amp; " ="),"")</f>
        <v/>
      </c>
      <c r="AL13" s="216" t="s">
        <v>386</v>
      </c>
      <c r="AM13" s="1" t="s">
        <v>383</v>
      </c>
      <c r="AN13" s="29" t="str">
        <f ca="1">+ IF(Q5 = 1,IF(R5 = 0.8, AL15,AL14),AL13) &amp; IF(AI16&gt;0,IF(Q5=1," + B.5",""),"") &amp; " ="</f>
        <v>hj = 1,8 x Sgi =</v>
      </c>
    </row>
    <row r="14" spans="1:47" ht="20.399999999999999">
      <c r="AF14" s="1"/>
      <c r="AG14" s="1"/>
      <c r="AH14" s="1" t="s">
        <v>382</v>
      </c>
      <c r="AI14" s="199">
        <f>+V8</f>
        <v>0</v>
      </c>
      <c r="AJ14" s="1" t="str">
        <f>+IF(AI14&gt;0,IF(SUM(AI15:AI16)&gt;0,"B3 + ","B3 = "),"")</f>
        <v/>
      </c>
      <c r="AK14" s="1" t="str">
        <f>+IF(AI14&gt;0,IF(SUM(AI15:AI16)&gt;0,TEXT(AI14,"#0,0#") &amp; " + ",TEXT(AI14,"#0,0#") &amp; " ="),"")</f>
        <v/>
      </c>
      <c r="AL14" s="216" t="s">
        <v>387</v>
      </c>
      <c r="AM14" s="1"/>
    </row>
    <row r="15" spans="1:47" ht="20.399999999999999">
      <c r="A15" s="29" t="s">
        <v>206</v>
      </c>
      <c r="C15" s="30" t="s">
        <v>206</v>
      </c>
      <c r="E15" s="30" t="s">
        <v>206</v>
      </c>
      <c r="F15" s="30" t="s">
        <v>210</v>
      </c>
      <c r="G15" s="30"/>
      <c r="H15" s="30" t="s">
        <v>210</v>
      </c>
      <c r="J15" s="30" t="s">
        <v>234</v>
      </c>
      <c r="K15" s="30"/>
      <c r="L15" s="30"/>
      <c r="M15" s="30"/>
      <c r="N15" s="195"/>
      <c r="O15" s="195"/>
      <c r="Q15" s="241" t="s">
        <v>339</v>
      </c>
      <c r="R15" s="241"/>
      <c r="T15" s="241" t="s">
        <v>343</v>
      </c>
      <c r="U15" s="241"/>
      <c r="V15" s="241"/>
      <c r="W15" s="241"/>
      <c r="AF15" s="1"/>
      <c r="AG15" s="1"/>
      <c r="AH15" s="1" t="s">
        <v>368</v>
      </c>
      <c r="AI15" s="1">
        <f ca="1">+W8*PARG*W5</f>
        <v>0</v>
      </c>
      <c r="AJ15" s="1" t="str">
        <f ca="1">+IF(AI15&gt;0,IF(SUM(AI16)&gt;0,"B4 + ","B4 = "),"")</f>
        <v/>
      </c>
      <c r="AK15" s="1" t="str">
        <f ca="1">+IF(AI15&gt;0,IF(SUM(AI16)&gt;0,TEXT(AI15,"#0,0#") &amp; " + ",TEXT(AI15,"#0,0#") &amp; " ="),"")</f>
        <v/>
      </c>
      <c r="AL15" s="216" t="s">
        <v>388</v>
      </c>
      <c r="AM15" s="1" t="s">
        <v>384</v>
      </c>
      <c r="AN15" t="str">
        <f ca="1">+ " [" &amp; AH17 &amp;"]^0,5" &amp; TEXT(AI17,"#0.00") &amp; TEXT(AJ17,"#0.00") &amp; "= " &amp; TEXT(PARG,"#.0,00")</f>
        <v xml:space="preserve"> [x 6]^0,5 x 1 x1,00= 0,00</v>
      </c>
      <c r="AP15" s="217"/>
    </row>
    <row r="16" spans="1:47">
      <c r="A16" s="29" t="s">
        <v>207</v>
      </c>
      <c r="C16" s="30" t="s">
        <v>240</v>
      </c>
      <c r="E16" s="30" t="s">
        <v>209</v>
      </c>
      <c r="F16" s="30" t="s">
        <v>211</v>
      </c>
      <c r="G16" s="30"/>
      <c r="H16" s="30" t="s">
        <v>212</v>
      </c>
      <c r="J16" s="30" t="s">
        <v>235</v>
      </c>
      <c r="K16" s="30"/>
      <c r="L16" s="30"/>
      <c r="M16" s="30"/>
      <c r="N16" s="195"/>
      <c r="O16" s="195"/>
      <c r="Q16" s="241" t="s">
        <v>340</v>
      </c>
      <c r="R16" s="241"/>
      <c r="T16" s="241" t="s">
        <v>344</v>
      </c>
      <c r="U16" s="241"/>
      <c r="V16" s="241"/>
      <c r="W16" s="241"/>
      <c r="AF16" s="1"/>
      <c r="AG16" s="1"/>
      <c r="AH16" s="1" t="s">
        <v>380</v>
      </c>
      <c r="AI16" s="1">
        <f ca="1">+X8*X5*PARG</f>
        <v>0</v>
      </c>
      <c r="AJ16" s="1" t="str">
        <f ca="1">+IF(AI16&gt;0,IF(Q5=1,TEXT(PARG*R5,"#0,0#")&amp;"+","B5 ="),"")</f>
        <v/>
      </c>
      <c r="AK16" s="1" t="str">
        <f ca="1">+IF(AI16&gt;0,TEXT(AI16,"#0,0#") &amp; " = ","")</f>
        <v/>
      </c>
      <c r="AL16" s="1"/>
      <c r="AM16" s="1" t="s">
        <v>1</v>
      </c>
    </row>
    <row r="17" spans="2:40">
      <c r="C17" s="30" t="s">
        <v>262</v>
      </c>
      <c r="F17" s="244" t="s">
        <v>238</v>
      </c>
      <c r="G17" s="244"/>
      <c r="H17" s="244"/>
      <c r="J17" s="30" t="s">
        <v>236</v>
      </c>
      <c r="K17" s="30"/>
      <c r="L17" s="30"/>
      <c r="M17" s="30"/>
      <c r="N17" s="195"/>
      <c r="O17" s="195"/>
      <c r="Q17" s="241" t="s">
        <v>341</v>
      </c>
      <c r="R17" s="241"/>
      <c r="T17" s="241" t="s">
        <v>345</v>
      </c>
      <c r="U17" s="241"/>
      <c r="V17" s="241"/>
      <c r="W17" s="241"/>
      <c r="AF17" s="1"/>
      <c r="AG17" s="1"/>
      <c r="AH17" s="1" t="str">
        <f ca="1">+IF(E5&gt;0,IF((E4-E5)&gt;0,"(" &amp; E5 &amp; " + "&amp;E4-E5&amp;" x " &amp; E7 &amp;")x" &amp; E9,E4 &amp; "x " &amp; E9),E4)</f>
        <v>x 6</v>
      </c>
      <c r="AI17" s="1" t="str">
        <f ca="1">+IF(AS4&gt;0," +(" &amp; TEXT(G4,"#0") &amp; " x 7)^0,5", IF(F4="non def.",""," x "&amp;TEXT(G7,"#0")))</f>
        <v xml:space="preserve"> x 1</v>
      </c>
      <c r="AJ17" s="1" t="str">
        <f ca="1">+IF(AS4&gt;0," +("&amp;TEXT(I4,"#0")&amp;" x 8)^0,5",IF(H4="non def.","x 1"," x"&amp;TEXT(I7,"#0,00")))</f>
        <v xml:space="preserve"> x1,00</v>
      </c>
      <c r="AK17" s="1"/>
      <c r="AL17" s="1"/>
      <c r="AM17" s="1" t="s">
        <v>0</v>
      </c>
    </row>
    <row r="18" spans="2:40" ht="36.75" customHeight="1">
      <c r="F18" s="244"/>
      <c r="G18" s="244"/>
      <c r="H18" s="244"/>
      <c r="I18" s="4"/>
      <c r="J18" s="56" t="s">
        <v>237</v>
      </c>
      <c r="K18" s="56"/>
      <c r="L18" s="56"/>
      <c r="M18" s="56"/>
      <c r="N18" s="196"/>
      <c r="O18" s="196"/>
      <c r="Q18" s="242" t="s">
        <v>342</v>
      </c>
      <c r="R18" s="252"/>
      <c r="T18" s="242" t="s">
        <v>346</v>
      </c>
      <c r="U18" s="242"/>
      <c r="V18" s="242"/>
      <c r="W18" s="242"/>
      <c r="AF18" s="1"/>
      <c r="AG18" s="1"/>
      <c r="AH18" s="1"/>
      <c r="AI18" s="1"/>
      <c r="AJ18" s="1"/>
      <c r="AK18" s="1"/>
      <c r="AL18" s="1"/>
      <c r="AM18" s="1"/>
    </row>
    <row r="19" spans="2:40" ht="23.4">
      <c r="F19" s="143"/>
      <c r="G19" s="143"/>
      <c r="H19" s="143"/>
      <c r="I19" s="4"/>
      <c r="J19" s="56"/>
      <c r="K19" s="56"/>
      <c r="L19" s="56"/>
      <c r="M19" s="56"/>
      <c r="N19" s="196"/>
      <c r="O19" s="196"/>
      <c r="AF19" s="1"/>
      <c r="AG19" s="1"/>
      <c r="AH19" s="1"/>
      <c r="AI19" s="1"/>
      <c r="AJ19" s="1"/>
      <c r="AK19" s="1"/>
      <c r="AL19" s="1"/>
      <c r="AM19" s="1"/>
    </row>
    <row r="20" spans="2:40" ht="33.6">
      <c r="B20" s="218" t="s">
        <v>335</v>
      </c>
      <c r="C20" s="219">
        <f ca="1">+PARG</f>
        <v>0</v>
      </c>
      <c r="D20" s="248"/>
      <c r="E20" s="249"/>
      <c r="F20" s="247" t="str">
        <f ca="1">+ " [" &amp; AH17 &amp;"]^0,5" &amp; TEXT(AI17,"#0.00") &amp; TEXT(AJ17,"#0.00") &amp; "= " &amp; TEXT(PARG,"#.0,00")</f>
        <v xml:space="preserve"> [x 6]^0,5 x 1 x1,00= 0,00</v>
      </c>
      <c r="G20" s="247"/>
      <c r="H20" s="247"/>
      <c r="I20" s="247"/>
      <c r="J20" s="253"/>
      <c r="K20" s="26"/>
      <c r="L20" s="26"/>
      <c r="M20" s="26"/>
      <c r="N20" s="26"/>
      <c r="O20" s="26"/>
      <c r="Q20" s="27" t="s">
        <v>350</v>
      </c>
      <c r="R20" s="245">
        <f ca="1">10+PARHF1</f>
        <v>10</v>
      </c>
      <c r="S20" s="246"/>
      <c r="T20" s="197" t="s">
        <v>338</v>
      </c>
      <c r="U20" s="194"/>
      <c r="AF20" s="1" t="s">
        <v>270</v>
      </c>
      <c r="AG20" s="1">
        <v>1</v>
      </c>
      <c r="AH20" s="1" t="str">
        <f>+IF($Q$4="SI","N.D.","SI")</f>
        <v>N.D.</v>
      </c>
      <c r="AI20" s="1"/>
      <c r="AJ20" s="1" t="s">
        <v>278</v>
      </c>
      <c r="AK20" s="1"/>
      <c r="AL20" s="1"/>
      <c r="AM20" s="1"/>
    </row>
    <row r="21" spans="2:40" ht="33.6">
      <c r="B21" s="218" t="s">
        <v>347</v>
      </c>
      <c r="C21" s="219">
        <f ca="1">+PARHF1</f>
        <v>0</v>
      </c>
      <c r="D21" s="250"/>
      <c r="E21" s="251"/>
      <c r="F21" s="247" t="str">
        <f ca="1">+TEXT(PARG,"#0")&amp;" x "&amp;AI37&amp;" x "&amp;AJ37&amp;" x "&amp;AK37&amp;" x "&amp;AL37&amp;" = "&amp;TEXT(PARHF1,"0#,00")</f>
        <v>0 x 1,5 x 1 x 1 x 1 = 0,00</v>
      </c>
      <c r="G21" s="247"/>
      <c r="H21" s="247"/>
      <c r="I21" s="220"/>
      <c r="J21" s="221"/>
      <c r="Q21" s="27" t="s">
        <v>351</v>
      </c>
      <c r="R21" s="245">
        <f ca="1">10+PARHF2</f>
        <v>10</v>
      </c>
      <c r="S21" s="246"/>
      <c r="T21" s="197" t="s">
        <v>338</v>
      </c>
      <c r="U21" s="198"/>
      <c r="V21" s="150"/>
      <c r="AF21" s="1" t="s">
        <v>271</v>
      </c>
      <c r="AG21" s="1">
        <v>0</v>
      </c>
      <c r="AH21" s="1" t="str">
        <f>+IF($Q$4="SI","N.D.","NO")</f>
        <v>N.D.</v>
      </c>
      <c r="AI21" s="1"/>
      <c r="AJ21" s="1" t="s">
        <v>279</v>
      </c>
      <c r="AK21" s="1"/>
      <c r="AL21" s="1"/>
      <c r="AM21" s="1"/>
    </row>
    <row r="22" spans="2:40" ht="33.6">
      <c r="B22" s="218" t="s">
        <v>353</v>
      </c>
      <c r="C22" s="219">
        <f ca="1">+PARHF2</f>
        <v>0</v>
      </c>
      <c r="D22" s="222"/>
      <c r="E22" s="227" t="s">
        <v>389</v>
      </c>
      <c r="F22" s="254" t="str">
        <f ca="1">AJ12&amp; AJ13 &amp; AJ14 &amp; AJ15&amp; AJ16 &amp;AK12 &amp; AK13&amp;AK14&amp;AK15&amp;AK16 &amp; TEXT(PARHF2,"#0,0#")</f>
        <v>0,0</v>
      </c>
      <c r="G22" s="254"/>
      <c r="H22" s="254"/>
      <c r="I22" s="254"/>
      <c r="J22" s="255"/>
      <c r="Q22" s="27" t="s">
        <v>354</v>
      </c>
      <c r="R22" s="245">
        <f ca="1">+IF(Q4="SI",R20+R21,"-")</f>
        <v>20</v>
      </c>
      <c r="S22" s="246"/>
      <c r="T22" s="197" t="s">
        <v>338</v>
      </c>
      <c r="AF22" s="1"/>
      <c r="AG22" s="1"/>
      <c r="AH22" s="1"/>
      <c r="AI22" s="1"/>
      <c r="AJ22" s="1" t="s">
        <v>280</v>
      </c>
      <c r="AK22" s="1"/>
      <c r="AL22" s="1"/>
      <c r="AM22" s="1"/>
    </row>
    <row r="23" spans="2:40" ht="33.6">
      <c r="C23" s="26"/>
      <c r="D23" s="27"/>
      <c r="E23" s="15"/>
      <c r="F23" s="55"/>
      <c r="R23" t="s">
        <v>352</v>
      </c>
      <c r="AF23" s="1" t="s">
        <v>355</v>
      </c>
      <c r="AG23" s="1" t="s">
        <v>356</v>
      </c>
      <c r="AH23" s="1" t="s">
        <v>283</v>
      </c>
      <c r="AI23" s="1"/>
      <c r="AJ23" s="1"/>
      <c r="AK23" s="1"/>
      <c r="AL23" s="1"/>
      <c r="AM23" s="1"/>
    </row>
    <row r="24" spans="2:40" hidden="1">
      <c r="B24" s="1"/>
      <c r="AF24" s="1"/>
      <c r="AG24" s="1"/>
      <c r="AH24" s="1"/>
      <c r="AI24" s="1"/>
      <c r="AJ24" s="1"/>
      <c r="AK24" s="1"/>
      <c r="AL24" s="1"/>
      <c r="AM24" s="1"/>
    </row>
    <row r="25" spans="2:40" ht="73.5" hidden="1" customHeight="1">
      <c r="B25" s="57"/>
      <c r="AF25" s="1"/>
      <c r="AG25" s="1" t="str">
        <f ca="1">"Gi = [SxK]^0,5 " &amp; IF(AI17 = "",""," x X") &amp; IF(AJ17="","","  x Y") &amp; " = " &amp;  " [" &amp; AH17 &amp;"]^0,5" &amp; TEXT(AI17,"#0.00") &amp; TEXT(AJ17,"#0.00") &amp; "= " &amp; TEXT(P4,"#.0,00")</f>
        <v>Gi = [SxK]^0,5  x X  x Y =  [x 6]^0,5 x 1 x1,00= 0,00</v>
      </c>
      <c r="AH25" s="1"/>
      <c r="AI25" s="1"/>
      <c r="AJ25" s="1"/>
      <c r="AK25" s="1"/>
      <c r="AL25" s="1"/>
      <c r="AM25" s="1"/>
    </row>
    <row r="26" spans="2:40" hidden="1">
      <c r="AF26" s="1"/>
      <c r="AG26" s="1"/>
      <c r="AH26" s="1"/>
      <c r="AI26" s="1"/>
      <c r="AJ26" s="1"/>
      <c r="AK26" s="1"/>
      <c r="AL26" s="1"/>
      <c r="AM26" s="1"/>
    </row>
    <row r="27" spans="2:40" hidden="1">
      <c r="AF27" s="1"/>
      <c r="AG27" s="1"/>
      <c r="AH27" s="1"/>
      <c r="AI27" s="1"/>
      <c r="AJ27" s="1"/>
      <c r="AK27" s="1"/>
      <c r="AL27" s="1"/>
      <c r="AM27" s="1"/>
    </row>
    <row r="28" spans="2:40" hidden="1">
      <c r="AF28" s="1"/>
      <c r="AG28" s="1"/>
      <c r="AH28" s="1"/>
      <c r="AI28" s="1"/>
      <c r="AJ28" s="1"/>
      <c r="AK28" s="1"/>
      <c r="AL28" s="1"/>
      <c r="AM28" s="1"/>
    </row>
    <row r="29" spans="2:40" hidden="1">
      <c r="AF29" s="1"/>
      <c r="AG29" s="1"/>
      <c r="AH29" s="1"/>
      <c r="AI29" s="1"/>
      <c r="AJ29" s="1"/>
      <c r="AK29" s="1"/>
      <c r="AL29" s="1"/>
      <c r="AM29" s="1"/>
    </row>
    <row r="30" spans="2:40" hidden="1">
      <c r="AF30" s="1"/>
      <c r="AG30" s="1"/>
      <c r="AH30" s="1"/>
      <c r="AI30" s="1"/>
      <c r="AJ30" s="1"/>
      <c r="AK30" s="1"/>
      <c r="AL30" s="1"/>
      <c r="AM30" s="1"/>
    </row>
    <row r="31" spans="2:40" ht="21" hidden="1">
      <c r="C31" s="243" t="str">
        <f ca="1">"G = [SxK]^0,5 " &amp; IF(AI17 = "",""," x X") &amp; IF(AJ17="","","  x Y") &amp; " = " &amp;  " [" &amp; AH17 &amp;"]^0,5" &amp; TEXT(AI17,"#0.00") &amp; TEXT(AJ17,"#0.00") &amp; "= " &amp; TEXT(P4,"#.0,00")</f>
        <v>G = [SxK]^0,5  x X  x Y =  [x 6]^0,5 x 1 x1,00= 0,00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67"/>
      <c r="R31" s="67"/>
      <c r="S31">
        <v>1070</v>
      </c>
      <c r="AF31" s="1"/>
      <c r="AG31" s="1"/>
      <c r="AH31" s="1"/>
      <c r="AI31" s="1"/>
      <c r="AJ31" s="1"/>
      <c r="AK31" s="1"/>
      <c r="AL31" s="1"/>
      <c r="AM31" s="1"/>
    </row>
    <row r="32" spans="2:40" hidden="1">
      <c r="AF32" s="1"/>
      <c r="AG32" s="1"/>
      <c r="AH32" s="1"/>
      <c r="AI32" s="1"/>
      <c r="AJ32" s="1"/>
      <c r="AK32" s="1" t="s">
        <v>190</v>
      </c>
      <c r="AL32" s="1" t="s">
        <v>191</v>
      </c>
      <c r="AM32" s="1" t="s">
        <v>363</v>
      </c>
      <c r="AN32" s="3"/>
    </row>
    <row r="33" spans="2:39" hidden="1">
      <c r="AF33" s="1"/>
      <c r="AG33" s="1"/>
      <c r="AH33" s="1" t="s">
        <v>182</v>
      </c>
      <c r="AI33" s="1">
        <v>1.2</v>
      </c>
      <c r="AJ33" s="1" t="s">
        <v>270</v>
      </c>
      <c r="AK33" s="1">
        <v>1.2</v>
      </c>
      <c r="AL33" s="1">
        <v>1.5</v>
      </c>
      <c r="AM33" s="1">
        <v>1.4</v>
      </c>
    </row>
    <row r="34" spans="2:39" hidden="1">
      <c r="AF34" s="1"/>
      <c r="AG34" s="1"/>
      <c r="AH34" s="1" t="s">
        <v>183</v>
      </c>
      <c r="AI34" s="1">
        <v>1</v>
      </c>
      <c r="AJ34" s="1" t="s">
        <v>271</v>
      </c>
      <c r="AK34" s="1">
        <v>1</v>
      </c>
      <c r="AL34" s="1">
        <v>1</v>
      </c>
      <c r="AM34" s="1">
        <v>1</v>
      </c>
    </row>
    <row r="35" spans="2:39" hidden="1">
      <c r="S35">
        <f>(2*2-1)/2</f>
        <v>1.5</v>
      </c>
      <c r="AF35" s="1"/>
      <c r="AG35" s="1"/>
      <c r="AH35" s="1" t="s">
        <v>203</v>
      </c>
      <c r="AI35" s="1">
        <v>1.5</v>
      </c>
      <c r="AJ35" s="1"/>
      <c r="AK35" s="1"/>
      <c r="AL35" s="1"/>
      <c r="AM35" s="1"/>
    </row>
    <row r="36" spans="2:39" hidden="1">
      <c r="C36" s="23" t="s">
        <v>180</v>
      </c>
      <c r="E36" s="23" t="s">
        <v>184</v>
      </c>
      <c r="F36" s="23" t="s">
        <v>187</v>
      </c>
      <c r="G36" s="23" t="s">
        <v>188</v>
      </c>
      <c r="H36" s="23" t="s">
        <v>189</v>
      </c>
      <c r="AF36" s="1"/>
      <c r="AG36" s="1"/>
      <c r="AH36" s="1"/>
      <c r="AI36" s="1"/>
      <c r="AJ36" s="1"/>
      <c r="AK36" s="1"/>
      <c r="AL36" s="1"/>
      <c r="AM36" s="1"/>
    </row>
    <row r="37" spans="2:39" ht="60.75" hidden="1" customHeight="1">
      <c r="C37" s="32">
        <f ca="1">+P4</f>
        <v>0</v>
      </c>
      <c r="E37" s="51" t="s">
        <v>186</v>
      </c>
      <c r="F37" s="51" t="s">
        <v>186</v>
      </c>
      <c r="G37" s="51" t="s">
        <v>186</v>
      </c>
      <c r="H37" s="48">
        <v>50</v>
      </c>
      <c r="AF37" s="1"/>
      <c r="AG37" s="1"/>
      <c r="AH37" s="1"/>
      <c r="AI37" s="1">
        <f>+VLOOKUP(J4,AH33:AI35,2,FALSE)</f>
        <v>1.5</v>
      </c>
      <c r="AJ37" s="1">
        <f>+VLOOKUP(K4,$AJ$33:$AM$34,2,FALSE)</f>
        <v>1</v>
      </c>
      <c r="AK37" s="1">
        <v>1</v>
      </c>
      <c r="AL37" s="1">
        <f>+VLOOKUP(G37,$AJ$33:$AM$34,4,FALSE)</f>
        <v>1</v>
      </c>
      <c r="AM37" s="1">
        <f>+VLOOKUP(G37,$AJ$33:$AM$34,4,FALSE)</f>
        <v>1</v>
      </c>
    </row>
    <row r="38" spans="2:39">
      <c r="AF38" s="1"/>
      <c r="AG38" s="1"/>
      <c r="AH38" s="1"/>
      <c r="AI38" s="1"/>
      <c r="AJ38" s="1"/>
      <c r="AK38" s="1"/>
      <c r="AL38" s="1"/>
      <c r="AM38" s="1"/>
    </row>
    <row r="39" spans="2:39">
      <c r="AF39" s="1"/>
      <c r="AG39" s="1"/>
      <c r="AH39" s="1"/>
      <c r="AI39" s="71">
        <f ca="1">+P4/(PRODUCT(AI37:AL37))</f>
        <v>0</v>
      </c>
      <c r="AJ39" s="1"/>
      <c r="AK39" s="1"/>
      <c r="AL39" s="1"/>
      <c r="AM39" s="1"/>
    </row>
    <row r="40" spans="2:39">
      <c r="B40">
        <v>7</v>
      </c>
      <c r="AF40" s="1"/>
      <c r="AG40" s="1"/>
      <c r="AH40" s="1"/>
      <c r="AI40" s="1"/>
      <c r="AJ40" s="1"/>
      <c r="AK40" s="1"/>
      <c r="AL40" s="1"/>
      <c r="AM40" s="1"/>
    </row>
    <row r="41" spans="2:39">
      <c r="AF41" s="1"/>
      <c r="AG41" s="1"/>
      <c r="AH41" s="1"/>
      <c r="AI41" s="1"/>
      <c r="AJ41" s="1"/>
      <c r="AK41" s="1"/>
      <c r="AL41" s="1"/>
      <c r="AM41" s="1"/>
    </row>
    <row r="42" spans="2:39">
      <c r="AF42" s="1"/>
      <c r="AG42" s="1"/>
      <c r="AH42" s="1"/>
      <c r="AI42" s="1"/>
      <c r="AJ42" s="1"/>
      <c r="AK42" s="1"/>
      <c r="AL42" s="1"/>
      <c r="AM42" s="1"/>
    </row>
    <row r="43" spans="2:39">
      <c r="AF43" s="1"/>
      <c r="AG43" s="1"/>
      <c r="AH43" s="1"/>
      <c r="AI43" s="1"/>
      <c r="AJ43" s="1"/>
      <c r="AK43" s="1"/>
      <c r="AL43" s="1"/>
      <c r="AM43" s="1"/>
    </row>
    <row r="44" spans="2:39">
      <c r="AF44" s="1"/>
      <c r="AG44" s="1"/>
      <c r="AH44" s="1"/>
      <c r="AI44" s="1"/>
      <c r="AJ44" s="1"/>
      <c r="AK44" s="1"/>
      <c r="AL44" s="1"/>
      <c r="AM44" s="1"/>
    </row>
    <row r="45" spans="2:39">
      <c r="AF45" s="1"/>
      <c r="AG45" s="1"/>
      <c r="AH45" s="1"/>
      <c r="AI45" s="1"/>
      <c r="AJ45" s="1"/>
      <c r="AK45" s="1"/>
      <c r="AL45" s="1"/>
      <c r="AM45" s="1"/>
    </row>
    <row r="46" spans="2:39">
      <c r="AF46" s="1"/>
      <c r="AG46" s="1"/>
      <c r="AH46" s="1"/>
      <c r="AI46" s="1"/>
      <c r="AJ46" s="1"/>
      <c r="AK46" s="1"/>
      <c r="AL46" s="1"/>
      <c r="AM46" s="1"/>
    </row>
    <row r="47" spans="2:39">
      <c r="AF47" s="1"/>
      <c r="AG47" s="1"/>
      <c r="AH47" s="1"/>
      <c r="AI47" s="1"/>
      <c r="AJ47" s="1"/>
      <c r="AK47" s="1"/>
      <c r="AL47" s="1"/>
      <c r="AM47" s="1"/>
    </row>
    <row r="48" spans="2:39">
      <c r="AF48" s="1"/>
      <c r="AG48" s="1"/>
      <c r="AH48" s="1"/>
      <c r="AI48" s="1"/>
      <c r="AJ48" s="1"/>
      <c r="AK48" s="1"/>
      <c r="AL48" s="1"/>
      <c r="AM48" s="1"/>
    </row>
    <row r="49" spans="32:39">
      <c r="AF49" s="1"/>
      <c r="AG49" s="1"/>
      <c r="AH49" s="1"/>
      <c r="AI49" s="1"/>
      <c r="AJ49" s="1"/>
      <c r="AK49" s="1"/>
      <c r="AL49" s="1"/>
      <c r="AM49" s="1"/>
    </row>
  </sheetData>
  <sheetProtection password="DC59" sheet="1" objects="1" scenarios="1" selectLockedCells="1"/>
  <dataConsolidate/>
  <mergeCells count="23">
    <mergeCell ref="T18:W18"/>
    <mergeCell ref="C31:P31"/>
    <mergeCell ref="F17:H18"/>
    <mergeCell ref="R21:S21"/>
    <mergeCell ref="R20:S20"/>
    <mergeCell ref="R22:S22"/>
    <mergeCell ref="F21:H21"/>
    <mergeCell ref="D20:E20"/>
    <mergeCell ref="D21:E21"/>
    <mergeCell ref="Q17:R17"/>
    <mergeCell ref="Q18:R18"/>
    <mergeCell ref="F20:J20"/>
    <mergeCell ref="F22:J22"/>
    <mergeCell ref="Q15:R15"/>
    <mergeCell ref="Q16:R16"/>
    <mergeCell ref="T15:W15"/>
    <mergeCell ref="T16:W16"/>
    <mergeCell ref="T17:W17"/>
    <mergeCell ref="Q1:Y1"/>
    <mergeCell ref="C2:P2"/>
    <mergeCell ref="C1:P1"/>
    <mergeCell ref="Q2:R2"/>
    <mergeCell ref="S2:W2"/>
  </mergeCells>
  <dataValidations count="8">
    <dataValidation type="list" errorStyle="information" allowBlank="1" showInputMessage="1" showErrorMessage="1" promptTitle="Scelta Sottoipo" sqref="C4">
      <formula1>OFFSET(INDIRECT($AH$4),0,0,$AG$4)</formula1>
    </dataValidation>
    <dataValidation type="list" allowBlank="1" showInputMessage="1" showErrorMessage="1" sqref="F4">
      <formula1>OFFSET(INDIRECT($AJ$4),0,0,$AG$4)</formula1>
    </dataValidation>
    <dataValidation type="list" allowBlank="1" showInputMessage="1" showErrorMessage="1" sqref="H4">
      <formula1>OFFSET(INDIRECT($AL$4),0,0,$AG$4)</formula1>
    </dataValidation>
    <dataValidation type="list" allowBlank="1" showInputMessage="1" showErrorMessage="1" sqref="J4">
      <formula1>$AH$33:$AH$35</formula1>
    </dataValidation>
    <dataValidation type="list" allowBlank="1" showInputMessage="1" showErrorMessage="1" sqref="E37:G37 K4:L4 N4">
      <formula1>$AJ$33:$AJ$34</formula1>
    </dataValidation>
    <dataValidation type="list" allowBlank="1" showInputMessage="1" showErrorMessage="1" sqref="Q4 X4">
      <formula1>$AF$20:$AF$21</formula1>
    </dataValidation>
    <dataValidation type="list" allowBlank="1" showInputMessage="1" showErrorMessage="1" sqref="S4 W4">
      <formula1>$AH$20:$AH$21</formula1>
    </dataValidation>
    <dataValidation type="list" allowBlank="1" showInputMessage="1" showErrorMessage="1" sqref="R4">
      <formula1>$AJ$20:$AJ$22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Pulsante9_Click">
                <anchor moveWithCells="1" sizeWithCells="1">
                  <from>
                    <xdr:col>2</xdr:col>
                    <xdr:colOff>259080</xdr:colOff>
                    <xdr:row>23</xdr:row>
                    <xdr:rowOff>0</xdr:rowOff>
                  </from>
                  <to>
                    <xdr:col>5</xdr:col>
                    <xdr:colOff>548640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Button 15">
              <controlPr defaultSize="0" print="0" autoFill="0" autoPict="0" macro="[0]!Pulsante15_Click">
                <anchor moveWithCells="1" sizeWithCells="1">
                  <from>
                    <xdr:col>15</xdr:col>
                    <xdr:colOff>53340</xdr:colOff>
                    <xdr:row>23</xdr:row>
                    <xdr:rowOff>0</xdr:rowOff>
                  </from>
                  <to>
                    <xdr:col>19</xdr:col>
                    <xdr:colOff>220980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A5"/>
  <sheetViews>
    <sheetView workbookViewId="0"/>
  </sheetViews>
  <sheetFormatPr defaultRowHeight="14.4"/>
  <cols>
    <col min="2" max="2" width="31" customWidth="1"/>
    <col min="3" max="3" width="24" customWidth="1"/>
    <col min="5" max="9" width="12.44140625" style="61" customWidth="1"/>
    <col min="11" max="11" width="12.44140625" style="61" customWidth="1"/>
    <col min="12" max="12" width="19.6640625" style="64" customWidth="1"/>
    <col min="13" max="13" width="19.5546875" style="64" customWidth="1"/>
    <col min="14" max="19" width="18.44140625" style="64" customWidth="1"/>
    <col min="20" max="20" width="17.44140625" customWidth="1"/>
    <col min="24" max="24" width="18.33203125" customWidth="1"/>
    <col min="25" max="25" width="18.109375" customWidth="1"/>
    <col min="26" max="26" width="18.5546875" bestFit="1" customWidth="1"/>
  </cols>
  <sheetData>
    <row r="1" spans="1:27" ht="43.2">
      <c r="A1" s="53" t="s">
        <v>10</v>
      </c>
      <c r="B1" s="53" t="s">
        <v>3</v>
      </c>
      <c r="C1" s="53" t="s">
        <v>239</v>
      </c>
      <c r="D1" s="53" t="s">
        <v>14</v>
      </c>
      <c r="E1" s="60" t="s">
        <v>241</v>
      </c>
      <c r="F1" s="60" t="s">
        <v>242</v>
      </c>
      <c r="G1" s="60" t="s">
        <v>243</v>
      </c>
      <c r="H1" s="60" t="s">
        <v>244</v>
      </c>
      <c r="I1" s="60" t="s">
        <v>245</v>
      </c>
      <c r="J1" s="53" t="s">
        <v>246</v>
      </c>
      <c r="K1" s="60" t="s">
        <v>258</v>
      </c>
      <c r="L1" s="62" t="s">
        <v>320</v>
      </c>
      <c r="M1" s="62" t="s">
        <v>321</v>
      </c>
      <c r="N1" s="63" t="s">
        <v>264</v>
      </c>
      <c r="O1" s="69" t="s">
        <v>307</v>
      </c>
      <c r="P1" s="70" t="s">
        <v>309</v>
      </c>
      <c r="Q1" s="69" t="s">
        <v>316</v>
      </c>
      <c r="R1" s="53" t="s">
        <v>310</v>
      </c>
      <c r="S1" s="53" t="s">
        <v>311</v>
      </c>
      <c r="T1" s="53" t="s">
        <v>312</v>
      </c>
      <c r="U1" s="53" t="s">
        <v>313</v>
      </c>
      <c r="V1" s="53" t="s">
        <v>314</v>
      </c>
      <c r="W1" s="53" t="s">
        <v>27</v>
      </c>
      <c r="X1" s="62" t="s">
        <v>322</v>
      </c>
      <c r="Y1" s="62" t="s">
        <v>323</v>
      </c>
      <c r="Z1" s="63" t="s">
        <v>264</v>
      </c>
      <c r="AA1" s="53" t="s">
        <v>265</v>
      </c>
    </row>
    <row r="2" spans="1:27" ht="43.2">
      <c r="A2">
        <v>65</v>
      </c>
      <c r="B2" t="s">
        <v>348</v>
      </c>
      <c r="C2" t="s">
        <v>48</v>
      </c>
      <c r="D2" t="s">
        <v>44</v>
      </c>
      <c r="E2" s="61">
        <v>56666</v>
      </c>
      <c r="F2" s="144" t="s">
        <v>249</v>
      </c>
      <c r="G2" s="61">
        <v>59</v>
      </c>
      <c r="H2" s="61" t="s">
        <v>37</v>
      </c>
      <c r="J2" t="s">
        <v>203</v>
      </c>
      <c r="K2" s="61">
        <v>297.7399872371866</v>
      </c>
      <c r="L2" s="65"/>
      <c r="M2" s="65"/>
      <c r="N2" s="64" t="s">
        <v>263</v>
      </c>
      <c r="O2" s="64" t="s">
        <v>270</v>
      </c>
      <c r="P2" s="64" t="s">
        <v>278</v>
      </c>
      <c r="V2" t="s">
        <v>271</v>
      </c>
      <c r="W2">
        <v>357.28798468462395</v>
      </c>
      <c r="X2" t="s">
        <v>349</v>
      </c>
      <c r="Y2">
        <v>357.28798468462395</v>
      </c>
      <c r="Z2" t="s">
        <v>263</v>
      </c>
    </row>
    <row r="3" spans="1:27">
      <c r="A3" t="s">
        <v>10</v>
      </c>
      <c r="B3" t="s">
        <v>385</v>
      </c>
      <c r="C3" t="s">
        <v>239</v>
      </c>
      <c r="D3" t="s">
        <v>14</v>
      </c>
      <c r="E3" s="61" t="s">
        <v>241</v>
      </c>
      <c r="F3" s="144" t="s">
        <v>242</v>
      </c>
      <c r="G3" s="61" t="s">
        <v>243</v>
      </c>
      <c r="H3" s="61" t="s">
        <v>244</v>
      </c>
      <c r="I3" s="61" t="s">
        <v>245</v>
      </c>
      <c r="J3" t="s">
        <v>357</v>
      </c>
      <c r="K3" s="61" t="s">
        <v>358</v>
      </c>
      <c r="L3" s="65"/>
      <c r="M3" s="65"/>
      <c r="O3" s="64" t="s">
        <v>359</v>
      </c>
      <c r="P3" s="64" t="s">
        <v>360</v>
      </c>
      <c r="Q3" s="64" t="s">
        <v>361</v>
      </c>
      <c r="R3" s="64" t="s">
        <v>362</v>
      </c>
      <c r="S3" s="64" t="s">
        <v>383</v>
      </c>
      <c r="T3" t="s">
        <v>307</v>
      </c>
      <c r="U3" t="s">
        <v>309</v>
      </c>
      <c r="V3" t="s">
        <v>367</v>
      </c>
      <c r="W3" t="s">
        <v>375</v>
      </c>
    </row>
    <row r="4" spans="1:27">
      <c r="A4" t="s">
        <v>10</v>
      </c>
      <c r="B4" t="s">
        <v>385</v>
      </c>
      <c r="C4" t="s">
        <v>239</v>
      </c>
      <c r="D4" t="s">
        <v>14</v>
      </c>
      <c r="E4" s="61" t="s">
        <v>241</v>
      </c>
      <c r="F4" s="144" t="s">
        <v>242</v>
      </c>
      <c r="G4" s="61" t="s">
        <v>243</v>
      </c>
      <c r="H4" s="61" t="s">
        <v>244</v>
      </c>
      <c r="I4" s="61" t="s">
        <v>245</v>
      </c>
      <c r="J4" t="s">
        <v>357</v>
      </c>
      <c r="K4" s="61" t="s">
        <v>358</v>
      </c>
      <c r="L4" s="65"/>
      <c r="M4" s="65"/>
      <c r="O4" s="64" t="s">
        <v>359</v>
      </c>
      <c r="P4" s="64" t="s">
        <v>360</v>
      </c>
      <c r="Q4" s="64" t="s">
        <v>361</v>
      </c>
      <c r="R4" s="64" t="s">
        <v>362</v>
      </c>
      <c r="S4" s="64" t="s">
        <v>383</v>
      </c>
      <c r="T4" t="s">
        <v>307</v>
      </c>
      <c r="U4" t="s">
        <v>309</v>
      </c>
      <c r="V4" t="s">
        <v>367</v>
      </c>
      <c r="W4" t="s">
        <v>375</v>
      </c>
      <c r="X4" s="152"/>
      <c r="Y4" s="152"/>
    </row>
    <row r="5" spans="1:27">
      <c r="L5" s="65"/>
      <c r="M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16"/>
  <sheetViews>
    <sheetView workbookViewId="0"/>
  </sheetViews>
  <sheetFormatPr defaultRowHeight="14.4"/>
  <cols>
    <col min="2" max="2" width="61.33203125" customWidth="1"/>
    <col min="3" max="3" width="7.109375" bestFit="1" customWidth="1"/>
    <col min="4" max="4" width="25.5546875" customWidth="1"/>
    <col min="5" max="5" width="9.5546875" customWidth="1"/>
    <col min="6" max="6" width="14.33203125" customWidth="1"/>
    <col min="7" max="7" width="19.44140625" customWidth="1"/>
    <col min="8" max="8" width="9.5546875" customWidth="1"/>
    <col min="9" max="9" width="19.88671875" bestFit="1" customWidth="1"/>
    <col min="10" max="11" width="13.5546875" customWidth="1"/>
    <col min="12" max="12" width="12.88671875" bestFit="1" customWidth="1"/>
    <col min="13" max="14" width="12.88671875" customWidth="1"/>
    <col min="15" max="15" width="19.88671875" customWidth="1"/>
    <col min="16" max="22" width="9.109375" customWidth="1"/>
    <col min="23" max="24" width="13.44140625" customWidth="1"/>
  </cols>
  <sheetData>
    <row r="1" spans="1:34">
      <c r="A1" t="s">
        <v>2</v>
      </c>
      <c r="B1" t="s">
        <v>3</v>
      </c>
      <c r="C1" t="s">
        <v>13</v>
      </c>
      <c r="D1" t="s">
        <v>11</v>
      </c>
      <c r="E1" t="s">
        <v>14</v>
      </c>
      <c r="F1" t="s">
        <v>81</v>
      </c>
      <c r="G1" t="s">
        <v>15</v>
      </c>
      <c r="H1" t="s">
        <v>1</v>
      </c>
      <c r="I1" t="s">
        <v>16</v>
      </c>
      <c r="J1" t="s">
        <v>0</v>
      </c>
      <c r="K1" t="s">
        <v>31</v>
      </c>
      <c r="L1" t="s">
        <v>32</v>
      </c>
      <c r="M1" t="s">
        <v>216</v>
      </c>
      <c r="N1" t="s">
        <v>217</v>
      </c>
      <c r="T1" s="2" t="s">
        <v>21</v>
      </c>
      <c r="Z1" t="s">
        <v>247</v>
      </c>
      <c r="AA1" t="s">
        <v>248</v>
      </c>
      <c r="AB1" t="s">
        <v>215</v>
      </c>
      <c r="AE1" t="s">
        <v>7</v>
      </c>
      <c r="AH1" t="s">
        <v>8</v>
      </c>
    </row>
    <row r="2" spans="1:34">
      <c r="A2">
        <v>1</v>
      </c>
      <c r="B2" t="s">
        <v>28</v>
      </c>
      <c r="C2">
        <f>+ROW(A2)</f>
        <v>2</v>
      </c>
      <c r="D2" t="s">
        <v>259</v>
      </c>
      <c r="E2" t="s">
        <v>44</v>
      </c>
      <c r="F2">
        <v>6</v>
      </c>
      <c r="G2" t="s">
        <v>5</v>
      </c>
      <c r="H2">
        <v>2</v>
      </c>
      <c r="I2" t="s">
        <v>4</v>
      </c>
      <c r="J2">
        <v>3</v>
      </c>
      <c r="S2">
        <f t="shared" ref="S2:S66" si="0">+C2</f>
        <v>2</v>
      </c>
      <c r="T2" s="2" t="s">
        <v>20</v>
      </c>
      <c r="Z2">
        <v>0</v>
      </c>
      <c r="AA2">
        <v>0</v>
      </c>
      <c r="AB2">
        <f>+IF(M2="",H2,"F")</f>
        <v>2</v>
      </c>
      <c r="AC2" t="str">
        <f>+IF(Z2=1,G2 &amp; CHAR(10) &amp;  "INSERIRE VALORE",G2)</f>
        <v>Infiammabile</v>
      </c>
      <c r="AE2" t="e">
        <f>+VLOOKUP($V2,A2:R22,8)</f>
        <v>#N/A</v>
      </c>
      <c r="AF2" s="11" t="str">
        <f>+IF(G2="","",AC2)</f>
        <v>Infiammabile</v>
      </c>
    </row>
    <row r="3" spans="1:34">
      <c r="C3">
        <f>+ROW(A3)</f>
        <v>3</v>
      </c>
      <c r="D3" t="s">
        <v>260</v>
      </c>
      <c r="E3" t="s">
        <v>204</v>
      </c>
      <c r="F3">
        <v>100</v>
      </c>
      <c r="G3" t="s">
        <v>6</v>
      </c>
      <c r="H3">
        <v>1</v>
      </c>
      <c r="I3" t="s">
        <v>9</v>
      </c>
      <c r="J3">
        <v>1</v>
      </c>
      <c r="S3">
        <f t="shared" si="0"/>
        <v>3</v>
      </c>
      <c r="Z3">
        <v>0</v>
      </c>
      <c r="AA3">
        <v>0</v>
      </c>
      <c r="AB3">
        <f t="shared" ref="AB3:AB66" si="1">+IF(M3="",H3,"F")</f>
        <v>1</v>
      </c>
      <c r="AC3" t="str">
        <f t="shared" ref="AC3:AC66" si="2">+IF(Z3=1,G3 &amp; CHAR(10) &amp;  "INSERIRE VALORE",G3)</f>
        <v>Comburente</v>
      </c>
      <c r="AF3" s="11" t="str">
        <f t="shared" ref="AF3:AF66" si="3">+IF(G3="","",AC3)</f>
        <v>Comburente</v>
      </c>
    </row>
    <row r="4" spans="1:34">
      <c r="A4">
        <v>2</v>
      </c>
      <c r="B4" t="s">
        <v>29</v>
      </c>
      <c r="C4">
        <f t="shared" ref="C4:C53" si="4">+ROW(A4)</f>
        <v>4</v>
      </c>
      <c r="D4" t="s">
        <v>261</v>
      </c>
      <c r="E4" t="s">
        <v>44</v>
      </c>
      <c r="F4">
        <v>6</v>
      </c>
      <c r="G4" t="s">
        <v>5</v>
      </c>
      <c r="H4">
        <v>2</v>
      </c>
      <c r="I4" t="s">
        <v>4</v>
      </c>
      <c r="J4">
        <v>3</v>
      </c>
      <c r="S4">
        <f t="shared" si="0"/>
        <v>4</v>
      </c>
      <c r="Z4">
        <v>0</v>
      </c>
      <c r="AA4">
        <v>0</v>
      </c>
      <c r="AB4">
        <f t="shared" si="1"/>
        <v>2</v>
      </c>
      <c r="AC4" t="str">
        <f t="shared" si="2"/>
        <v>Infiammabile</v>
      </c>
      <c r="AF4" s="11" t="str">
        <f t="shared" si="3"/>
        <v>Infiammabile</v>
      </c>
    </row>
    <row r="5" spans="1:34">
      <c r="C5">
        <f t="shared" si="4"/>
        <v>5</v>
      </c>
      <c r="D5" t="s">
        <v>33</v>
      </c>
      <c r="E5" t="s">
        <v>204</v>
      </c>
      <c r="F5">
        <v>4</v>
      </c>
      <c r="G5" t="s">
        <v>6</v>
      </c>
      <c r="H5">
        <v>1</v>
      </c>
      <c r="I5" t="s">
        <v>9</v>
      </c>
      <c r="J5">
        <v>1</v>
      </c>
      <c r="S5">
        <f t="shared" si="0"/>
        <v>5</v>
      </c>
      <c r="Z5">
        <v>0</v>
      </c>
      <c r="AA5">
        <v>0</v>
      </c>
      <c r="AB5">
        <f t="shared" si="1"/>
        <v>1</v>
      </c>
      <c r="AC5" t="str">
        <f t="shared" si="2"/>
        <v>Comburente</v>
      </c>
      <c r="AF5" s="11" t="str">
        <f t="shared" si="3"/>
        <v>Comburente</v>
      </c>
    </row>
    <row r="6" spans="1:34">
      <c r="A6">
        <v>3</v>
      </c>
      <c r="B6" t="s">
        <v>30</v>
      </c>
      <c r="C6">
        <f t="shared" si="4"/>
        <v>6</v>
      </c>
      <c r="D6" t="s">
        <v>48</v>
      </c>
      <c r="E6" t="s">
        <v>44</v>
      </c>
      <c r="F6">
        <v>6</v>
      </c>
      <c r="G6" t="s">
        <v>33</v>
      </c>
      <c r="H6">
        <v>1</v>
      </c>
      <c r="I6" t="s">
        <v>4</v>
      </c>
      <c r="J6">
        <v>3</v>
      </c>
      <c r="K6">
        <v>200</v>
      </c>
      <c r="L6">
        <v>0.1</v>
      </c>
      <c r="S6">
        <f t="shared" si="0"/>
        <v>6</v>
      </c>
      <c r="Z6">
        <v>0</v>
      </c>
      <c r="AA6">
        <v>0</v>
      </c>
      <c r="AB6">
        <f t="shared" si="1"/>
        <v>1</v>
      </c>
      <c r="AC6" t="str">
        <f t="shared" si="2"/>
        <v>Solo Deposito</v>
      </c>
      <c r="AF6" s="11" t="str">
        <f t="shared" si="3"/>
        <v>Solo Deposito</v>
      </c>
    </row>
    <row r="7" spans="1:34">
      <c r="C7">
        <f t="shared" si="4"/>
        <v>7</v>
      </c>
      <c r="G7" t="s">
        <v>34</v>
      </c>
      <c r="H7">
        <v>1.2</v>
      </c>
      <c r="I7" t="s">
        <v>9</v>
      </c>
      <c r="J7">
        <v>1</v>
      </c>
      <c r="K7">
        <v>400</v>
      </c>
      <c r="L7">
        <v>0.1</v>
      </c>
      <c r="S7">
        <f t="shared" si="0"/>
        <v>7</v>
      </c>
      <c r="Z7">
        <v>0</v>
      </c>
      <c r="AA7">
        <v>0</v>
      </c>
      <c r="AB7">
        <f t="shared" si="1"/>
        <v>1.2</v>
      </c>
      <c r="AC7" t="str">
        <f t="shared" si="2"/>
        <v>Deposito e rivendita</v>
      </c>
      <c r="AF7" s="11" t="str">
        <f t="shared" si="3"/>
        <v>Deposito e rivendita</v>
      </c>
    </row>
    <row r="8" spans="1:34">
      <c r="A8">
        <v>4</v>
      </c>
      <c r="B8" t="s">
        <v>35</v>
      </c>
      <c r="C8">
        <f t="shared" si="4"/>
        <v>8</v>
      </c>
      <c r="D8" t="s">
        <v>54</v>
      </c>
      <c r="E8" t="s">
        <v>55</v>
      </c>
      <c r="F8">
        <v>300</v>
      </c>
      <c r="G8" t="s">
        <v>33</v>
      </c>
      <c r="H8">
        <v>1</v>
      </c>
      <c r="I8" t="s">
        <v>4</v>
      </c>
      <c r="J8">
        <v>3</v>
      </c>
      <c r="K8">
        <v>200</v>
      </c>
      <c r="L8">
        <v>0.1</v>
      </c>
      <c r="S8">
        <f t="shared" si="0"/>
        <v>8</v>
      </c>
      <c r="Z8">
        <v>0</v>
      </c>
      <c r="AA8">
        <v>0</v>
      </c>
      <c r="AB8">
        <f t="shared" si="1"/>
        <v>1</v>
      </c>
      <c r="AC8" t="str">
        <f t="shared" si="2"/>
        <v>Solo Deposito</v>
      </c>
      <c r="AF8" s="11" t="str">
        <f t="shared" si="3"/>
        <v>Solo Deposito</v>
      </c>
    </row>
    <row r="9" spans="1:34">
      <c r="C9">
        <f t="shared" si="4"/>
        <v>9</v>
      </c>
      <c r="G9" t="s">
        <v>34</v>
      </c>
      <c r="H9">
        <v>1.2</v>
      </c>
      <c r="I9" t="s">
        <v>9</v>
      </c>
      <c r="J9">
        <v>1</v>
      </c>
      <c r="K9">
        <v>400</v>
      </c>
      <c r="L9">
        <v>0.1</v>
      </c>
      <c r="S9">
        <f t="shared" si="0"/>
        <v>9</v>
      </c>
      <c r="Z9">
        <v>0</v>
      </c>
      <c r="AA9">
        <v>0</v>
      </c>
      <c r="AB9">
        <f t="shared" si="1"/>
        <v>1.2</v>
      </c>
      <c r="AC9" t="str">
        <f t="shared" si="2"/>
        <v>Deposito e rivendita</v>
      </c>
      <c r="AF9" s="11" t="str">
        <f t="shared" si="3"/>
        <v>Deposito e rivendita</v>
      </c>
    </row>
    <row r="10" spans="1:34">
      <c r="A10">
        <v>5</v>
      </c>
      <c r="B10" t="s">
        <v>36</v>
      </c>
      <c r="C10">
        <f t="shared" si="4"/>
        <v>10</v>
      </c>
      <c r="D10" s="2" t="s">
        <v>41</v>
      </c>
      <c r="E10" t="s">
        <v>55</v>
      </c>
      <c r="F10">
        <v>300</v>
      </c>
      <c r="G10" t="s">
        <v>4</v>
      </c>
      <c r="H10">
        <v>3</v>
      </c>
      <c r="I10" s="2" t="s">
        <v>37</v>
      </c>
      <c r="J10">
        <v>1</v>
      </c>
      <c r="K10">
        <v>200</v>
      </c>
      <c r="L10">
        <v>0.1</v>
      </c>
      <c r="S10">
        <f t="shared" si="0"/>
        <v>10</v>
      </c>
      <c r="Z10">
        <v>0</v>
      </c>
      <c r="AA10">
        <v>0</v>
      </c>
      <c r="AB10">
        <f t="shared" si="1"/>
        <v>3</v>
      </c>
      <c r="AC10" t="str">
        <f t="shared" si="2"/>
        <v>Direttiva Seveso</v>
      </c>
      <c r="AF10" s="11" t="str">
        <f t="shared" si="3"/>
        <v>Direttiva Seveso</v>
      </c>
    </row>
    <row r="11" spans="1:34">
      <c r="C11">
        <f t="shared" si="4"/>
        <v>11</v>
      </c>
      <c r="G11" t="s">
        <v>9</v>
      </c>
      <c r="H11">
        <v>1</v>
      </c>
      <c r="J11">
        <v>1</v>
      </c>
      <c r="S11">
        <f t="shared" si="0"/>
        <v>11</v>
      </c>
      <c r="Z11">
        <v>0</v>
      </c>
      <c r="AA11">
        <v>0</v>
      </c>
      <c r="AB11">
        <f t="shared" si="1"/>
        <v>1</v>
      </c>
      <c r="AC11" t="str">
        <f t="shared" si="2"/>
        <v>Non Direttiva Seveso</v>
      </c>
      <c r="AF11" s="11" t="str">
        <f t="shared" si="3"/>
        <v>Non Direttiva Seveso</v>
      </c>
    </row>
    <row r="12" spans="1:34" s="156" customFormat="1">
      <c r="A12" s="156">
        <v>6</v>
      </c>
      <c r="B12" s="157" t="s">
        <v>38</v>
      </c>
      <c r="C12" s="156">
        <f t="shared" si="4"/>
        <v>12</v>
      </c>
      <c r="D12" s="156" t="s">
        <v>46</v>
      </c>
      <c r="E12" s="156" t="s">
        <v>49</v>
      </c>
      <c r="F12" s="156">
        <v>80</v>
      </c>
      <c r="G12" s="158" t="s">
        <v>37</v>
      </c>
      <c r="H12" s="156">
        <v>1</v>
      </c>
      <c r="I12" s="159" t="s">
        <v>37</v>
      </c>
      <c r="J12" s="156">
        <v>1</v>
      </c>
      <c r="S12" s="156">
        <f t="shared" si="0"/>
        <v>12</v>
      </c>
      <c r="Z12" s="156">
        <v>0</v>
      </c>
      <c r="AA12" s="156">
        <v>0</v>
      </c>
      <c r="AB12" s="156">
        <f t="shared" si="1"/>
        <v>1</v>
      </c>
      <c r="AC12" s="156" t="str">
        <f t="shared" si="2"/>
        <v>Non Def.</v>
      </c>
      <c r="AF12" s="160" t="str">
        <f t="shared" si="3"/>
        <v>Non Def.</v>
      </c>
    </row>
    <row r="13" spans="1:34" s="156" customFormat="1">
      <c r="A13" s="156">
        <v>7</v>
      </c>
      <c r="B13" s="156" t="s">
        <v>42</v>
      </c>
      <c r="C13" s="156">
        <f t="shared" si="4"/>
        <v>13</v>
      </c>
      <c r="D13" s="156" t="s">
        <v>43</v>
      </c>
      <c r="E13" s="156" t="s">
        <v>44</v>
      </c>
      <c r="F13" s="156">
        <v>8</v>
      </c>
      <c r="G13" s="159" t="s">
        <v>37</v>
      </c>
      <c r="H13" s="156">
        <v>1</v>
      </c>
      <c r="I13" s="159" t="s">
        <v>37</v>
      </c>
      <c r="J13" s="156">
        <v>1</v>
      </c>
      <c r="S13" s="156">
        <f t="shared" si="0"/>
        <v>13</v>
      </c>
      <c r="Z13" s="156">
        <v>0</v>
      </c>
      <c r="AA13" s="156">
        <v>0</v>
      </c>
      <c r="AB13" s="156">
        <f t="shared" si="1"/>
        <v>1</v>
      </c>
      <c r="AC13" s="156" t="str">
        <f t="shared" si="2"/>
        <v>Non Def.</v>
      </c>
      <c r="AF13" s="160" t="str">
        <f t="shared" si="3"/>
        <v>Non Def.</v>
      </c>
    </row>
    <row r="14" spans="1:34" s="156" customFormat="1">
      <c r="A14" s="156">
        <v>8</v>
      </c>
      <c r="B14" s="156" t="s">
        <v>45</v>
      </c>
      <c r="C14" s="156">
        <f t="shared" si="4"/>
        <v>14</v>
      </c>
      <c r="D14" s="156" t="s">
        <v>46</v>
      </c>
      <c r="E14" s="156" t="s">
        <v>49</v>
      </c>
      <c r="F14" s="156">
        <v>20</v>
      </c>
      <c r="G14" s="158" t="s">
        <v>37</v>
      </c>
      <c r="H14" s="156">
        <v>1</v>
      </c>
      <c r="I14" s="159" t="s">
        <v>37</v>
      </c>
      <c r="J14" s="156">
        <v>1</v>
      </c>
      <c r="O14" s="156" t="e">
        <f ca="1">+VLOOKUP(L14,INDIRECT(K14),2,FALSE)</f>
        <v>#REF!</v>
      </c>
      <c r="S14" s="156">
        <f t="shared" si="0"/>
        <v>14</v>
      </c>
      <c r="Z14" s="156">
        <v>0</v>
      </c>
      <c r="AA14" s="156">
        <v>0</v>
      </c>
      <c r="AB14" s="156">
        <f t="shared" si="1"/>
        <v>1</v>
      </c>
      <c r="AC14" s="156" t="str">
        <f t="shared" si="2"/>
        <v>Non Def.</v>
      </c>
      <c r="AF14" s="160" t="str">
        <f t="shared" si="3"/>
        <v>Non Def.</v>
      </c>
    </row>
    <row r="15" spans="1:34">
      <c r="A15" s="161">
        <v>9</v>
      </c>
      <c r="B15" s="161" t="s">
        <v>47</v>
      </c>
      <c r="C15" s="161">
        <f t="shared" si="4"/>
        <v>15</v>
      </c>
      <c r="D15" s="161" t="s">
        <v>326</v>
      </c>
      <c r="E15" s="161" t="s">
        <v>44</v>
      </c>
      <c r="F15" s="161">
        <v>4</v>
      </c>
      <c r="G15" s="162" t="s">
        <v>37</v>
      </c>
      <c r="H15" s="161">
        <v>1</v>
      </c>
      <c r="I15" s="163" t="s">
        <v>37</v>
      </c>
      <c r="J15" s="161">
        <v>1</v>
      </c>
      <c r="K15" s="161">
        <v>1000</v>
      </c>
      <c r="L15" s="161">
        <v>0.2</v>
      </c>
      <c r="S15">
        <f t="shared" si="0"/>
        <v>15</v>
      </c>
      <c r="Z15">
        <v>0</v>
      </c>
      <c r="AA15">
        <v>0</v>
      </c>
      <c r="AB15">
        <f t="shared" si="1"/>
        <v>1</v>
      </c>
      <c r="AC15" t="str">
        <f t="shared" si="2"/>
        <v>Non Def.</v>
      </c>
      <c r="AF15" s="11" t="str">
        <f t="shared" si="3"/>
        <v>Non Def.</v>
      </c>
    </row>
    <row r="16" spans="1:34">
      <c r="A16" s="161">
        <v>10</v>
      </c>
      <c r="B16" s="161" t="s">
        <v>50</v>
      </c>
      <c r="C16" s="161">
        <f t="shared" si="4"/>
        <v>16</v>
      </c>
      <c r="D16" s="161" t="s">
        <v>327</v>
      </c>
      <c r="E16" s="161" t="s">
        <v>44</v>
      </c>
      <c r="F16" s="161">
        <v>6</v>
      </c>
      <c r="G16" s="161" t="s">
        <v>5</v>
      </c>
      <c r="H16" s="161">
        <v>2</v>
      </c>
      <c r="I16" s="163" t="s">
        <v>37</v>
      </c>
      <c r="J16" s="161">
        <v>1</v>
      </c>
      <c r="K16" s="161">
        <v>1000</v>
      </c>
      <c r="L16" s="161">
        <v>0.1</v>
      </c>
      <c r="S16">
        <f t="shared" si="0"/>
        <v>16</v>
      </c>
      <c r="Z16">
        <v>0</v>
      </c>
      <c r="AA16">
        <v>0</v>
      </c>
      <c r="AB16">
        <f t="shared" si="1"/>
        <v>2</v>
      </c>
      <c r="AC16" t="str">
        <f t="shared" si="2"/>
        <v>Infiammabile</v>
      </c>
      <c r="AF16" s="11" t="str">
        <f t="shared" si="3"/>
        <v>Infiammabile</v>
      </c>
    </row>
    <row r="17" spans="1:32">
      <c r="A17" s="161"/>
      <c r="B17" s="161"/>
      <c r="C17" s="161">
        <f t="shared" si="4"/>
        <v>17</v>
      </c>
      <c r="D17" s="161"/>
      <c r="E17" s="161"/>
      <c r="F17" s="161"/>
      <c r="G17" s="161" t="s">
        <v>52</v>
      </c>
      <c r="H17" s="161">
        <v>1</v>
      </c>
      <c r="I17" s="161"/>
      <c r="J17" s="161"/>
      <c r="K17" s="161"/>
      <c r="L17" s="161"/>
      <c r="S17">
        <f t="shared" si="0"/>
        <v>17</v>
      </c>
      <c r="Z17">
        <v>0</v>
      </c>
      <c r="AA17">
        <v>0</v>
      </c>
      <c r="AB17">
        <f t="shared" si="1"/>
        <v>1</v>
      </c>
      <c r="AC17" t="str">
        <f t="shared" si="2"/>
        <v>Combustibile</v>
      </c>
      <c r="AF17" s="11" t="str">
        <f t="shared" si="3"/>
        <v>Combustibile</v>
      </c>
    </row>
    <row r="18" spans="1:32">
      <c r="A18" s="161">
        <v>11</v>
      </c>
      <c r="B18" s="161" t="s">
        <v>51</v>
      </c>
      <c r="C18" s="161">
        <f t="shared" si="4"/>
        <v>18</v>
      </c>
      <c r="D18" s="161" t="s">
        <v>327</v>
      </c>
      <c r="E18" s="161" t="s">
        <v>44</v>
      </c>
      <c r="F18" s="161">
        <v>6</v>
      </c>
      <c r="G18" s="161" t="s">
        <v>5</v>
      </c>
      <c r="H18" s="161">
        <v>2</v>
      </c>
      <c r="I18" s="163" t="s">
        <v>37</v>
      </c>
      <c r="J18" s="161">
        <v>1</v>
      </c>
      <c r="K18" s="161">
        <v>1000</v>
      </c>
      <c r="L18" s="161">
        <v>0.1</v>
      </c>
      <c r="S18">
        <f t="shared" si="0"/>
        <v>18</v>
      </c>
      <c r="Z18">
        <v>0</v>
      </c>
      <c r="AA18">
        <v>0</v>
      </c>
      <c r="AB18">
        <f t="shared" si="1"/>
        <v>2</v>
      </c>
      <c r="AC18" t="str">
        <f t="shared" si="2"/>
        <v>Infiammabile</v>
      </c>
      <c r="AF18" s="11" t="str">
        <f t="shared" si="3"/>
        <v>Infiammabile</v>
      </c>
    </row>
    <row r="19" spans="1:32">
      <c r="A19" s="161"/>
      <c r="B19" s="161"/>
      <c r="C19" s="161">
        <f t="shared" si="4"/>
        <v>19</v>
      </c>
      <c r="D19" s="161"/>
      <c r="E19" s="161"/>
      <c r="F19" s="161"/>
      <c r="G19" s="161" t="s">
        <v>52</v>
      </c>
      <c r="H19" s="161">
        <v>1</v>
      </c>
      <c r="I19" s="161"/>
      <c r="J19" s="161"/>
      <c r="K19" s="161"/>
      <c r="L19" s="161"/>
      <c r="S19">
        <f t="shared" si="0"/>
        <v>19</v>
      </c>
      <c r="Z19">
        <v>0</v>
      </c>
      <c r="AA19">
        <v>0</v>
      </c>
      <c r="AB19">
        <f t="shared" si="1"/>
        <v>1</v>
      </c>
      <c r="AC19" t="str">
        <f t="shared" si="2"/>
        <v>Combustibile</v>
      </c>
      <c r="AF19" s="11" t="str">
        <f t="shared" si="3"/>
        <v>Combustibile</v>
      </c>
    </row>
    <row r="20" spans="1:32">
      <c r="A20">
        <v>12</v>
      </c>
      <c r="B20" t="s">
        <v>53</v>
      </c>
      <c r="C20">
        <f t="shared" si="4"/>
        <v>20</v>
      </c>
      <c r="D20" t="s">
        <v>54</v>
      </c>
      <c r="E20" t="s">
        <v>55</v>
      </c>
      <c r="F20">
        <v>150</v>
      </c>
      <c r="G20" t="s">
        <v>5</v>
      </c>
      <c r="H20">
        <v>1.5</v>
      </c>
      <c r="I20" t="s">
        <v>56</v>
      </c>
      <c r="J20">
        <v>1</v>
      </c>
      <c r="K20">
        <v>100</v>
      </c>
      <c r="L20">
        <v>0.1</v>
      </c>
      <c r="S20">
        <f t="shared" si="0"/>
        <v>20</v>
      </c>
      <c r="Z20">
        <v>0</v>
      </c>
      <c r="AA20">
        <v>0</v>
      </c>
      <c r="AB20">
        <f t="shared" si="1"/>
        <v>1.5</v>
      </c>
      <c r="AC20" t="str">
        <f t="shared" si="2"/>
        <v>Infiammabile</v>
      </c>
      <c r="AF20" s="11" t="str">
        <f t="shared" si="3"/>
        <v>Infiammabile</v>
      </c>
    </row>
    <row r="21" spans="1:32">
      <c r="C21">
        <f t="shared" si="4"/>
        <v>21</v>
      </c>
      <c r="G21" t="s">
        <v>52</v>
      </c>
      <c r="H21">
        <v>1</v>
      </c>
      <c r="I21" t="s">
        <v>57</v>
      </c>
      <c r="J21">
        <v>1.5</v>
      </c>
      <c r="K21">
        <v>100</v>
      </c>
      <c r="L21">
        <v>0.1</v>
      </c>
      <c r="S21">
        <f t="shared" si="0"/>
        <v>21</v>
      </c>
      <c r="Z21">
        <v>0</v>
      </c>
      <c r="AA21">
        <v>0</v>
      </c>
      <c r="AB21">
        <f t="shared" si="1"/>
        <v>1</v>
      </c>
      <c r="AC21" t="str">
        <f t="shared" si="2"/>
        <v>Combustibile</v>
      </c>
      <c r="AF21" s="11" t="str">
        <f t="shared" si="3"/>
        <v>Combustibile</v>
      </c>
    </row>
    <row r="22" spans="1:32">
      <c r="A22">
        <v>13</v>
      </c>
      <c r="B22" t="s">
        <v>58</v>
      </c>
      <c r="C22">
        <f t="shared" si="4"/>
        <v>22</v>
      </c>
      <c r="D22" t="s">
        <v>39</v>
      </c>
      <c r="E22" t="s">
        <v>40</v>
      </c>
      <c r="F22">
        <v>100</v>
      </c>
      <c r="G22" t="s">
        <v>5</v>
      </c>
      <c r="H22">
        <v>1.5</v>
      </c>
      <c r="I22" t="s">
        <v>59</v>
      </c>
      <c r="J22">
        <v>1</v>
      </c>
      <c r="S22">
        <f t="shared" si="0"/>
        <v>22</v>
      </c>
      <c r="Z22">
        <v>0</v>
      </c>
      <c r="AA22">
        <v>0</v>
      </c>
      <c r="AB22">
        <f t="shared" si="1"/>
        <v>1.5</v>
      </c>
      <c r="AC22" t="str">
        <f t="shared" si="2"/>
        <v>Infiammabile</v>
      </c>
      <c r="AF22" s="11" t="str">
        <f t="shared" si="3"/>
        <v>Infiammabile</v>
      </c>
    </row>
    <row r="23" spans="1:32">
      <c r="C23">
        <f t="shared" si="4"/>
        <v>23</v>
      </c>
      <c r="G23" t="s">
        <v>52</v>
      </c>
      <c r="H23">
        <v>1</v>
      </c>
      <c r="I23" t="s">
        <v>60</v>
      </c>
      <c r="J23">
        <v>1.5</v>
      </c>
      <c r="S23">
        <f t="shared" si="0"/>
        <v>23</v>
      </c>
      <c r="Z23">
        <v>0</v>
      </c>
      <c r="AA23">
        <v>0</v>
      </c>
      <c r="AB23">
        <f t="shared" si="1"/>
        <v>1</v>
      </c>
      <c r="AC23" t="str">
        <f t="shared" si="2"/>
        <v>Combustibile</v>
      </c>
      <c r="AF23" s="11" t="str">
        <f t="shared" si="3"/>
        <v>Combustibile</v>
      </c>
    </row>
    <row r="24" spans="1:32">
      <c r="A24" s="161">
        <v>14</v>
      </c>
      <c r="B24" s="161" t="s">
        <v>61</v>
      </c>
      <c r="C24" s="161">
        <f t="shared" si="4"/>
        <v>24</v>
      </c>
      <c r="D24" s="161" t="s">
        <v>328</v>
      </c>
      <c r="E24" s="161" t="s">
        <v>44</v>
      </c>
      <c r="F24" s="161">
        <v>4</v>
      </c>
      <c r="G24" s="161" t="s">
        <v>329</v>
      </c>
      <c r="H24" s="161">
        <v>1.5</v>
      </c>
      <c r="I24" s="163" t="s">
        <v>37</v>
      </c>
      <c r="J24" s="161">
        <v>1</v>
      </c>
      <c r="K24" s="161">
        <v>300</v>
      </c>
      <c r="L24" s="161">
        <v>0.1</v>
      </c>
      <c r="S24">
        <f t="shared" si="0"/>
        <v>24</v>
      </c>
      <c r="Z24">
        <v>0</v>
      </c>
      <c r="AA24">
        <v>0</v>
      </c>
      <c r="AB24">
        <f t="shared" si="1"/>
        <v>1.5</v>
      </c>
      <c r="AC24" t="str">
        <f t="shared" si="2"/>
        <v>Infiammabile - Qtà al Giorno</v>
      </c>
      <c r="AF24" s="11" t="str">
        <f t="shared" si="3"/>
        <v>Infiammabile - Qtà al Giorno</v>
      </c>
    </row>
    <row r="25" spans="1:32">
      <c r="A25" s="161"/>
      <c r="B25" s="161"/>
      <c r="C25" s="161">
        <f t="shared" si="4"/>
        <v>25</v>
      </c>
      <c r="D25" s="161"/>
      <c r="E25" s="161"/>
      <c r="F25" s="161"/>
      <c r="G25" s="161" t="s">
        <v>52</v>
      </c>
      <c r="H25" s="161">
        <v>1</v>
      </c>
      <c r="I25" s="161"/>
      <c r="J25" s="161"/>
      <c r="K25" s="161"/>
      <c r="L25" s="161"/>
      <c r="S25">
        <f t="shared" si="0"/>
        <v>25</v>
      </c>
      <c r="Z25">
        <v>0</v>
      </c>
      <c r="AA25">
        <v>0</v>
      </c>
      <c r="AB25">
        <f t="shared" si="1"/>
        <v>1</v>
      </c>
      <c r="AC25" t="str">
        <f t="shared" si="2"/>
        <v>Combustibile</v>
      </c>
      <c r="AF25" s="11" t="str">
        <f t="shared" si="3"/>
        <v>Combustibile</v>
      </c>
    </row>
    <row r="26" spans="1:32">
      <c r="A26">
        <v>15</v>
      </c>
      <c r="B26" t="s">
        <v>63</v>
      </c>
      <c r="C26">
        <f t="shared" si="4"/>
        <v>26</v>
      </c>
      <c r="D26" t="s">
        <v>54</v>
      </c>
      <c r="E26" t="s">
        <v>55</v>
      </c>
      <c r="F26">
        <v>150</v>
      </c>
      <c r="G26" t="s">
        <v>5</v>
      </c>
      <c r="H26">
        <v>1.5</v>
      </c>
      <c r="I26" t="s">
        <v>56</v>
      </c>
      <c r="J26">
        <v>1</v>
      </c>
      <c r="K26">
        <v>100</v>
      </c>
      <c r="L26">
        <v>0.1</v>
      </c>
      <c r="S26">
        <f t="shared" si="0"/>
        <v>26</v>
      </c>
      <c r="Z26">
        <v>0</v>
      </c>
      <c r="AA26">
        <v>0</v>
      </c>
      <c r="AB26">
        <f t="shared" si="1"/>
        <v>1.5</v>
      </c>
      <c r="AC26" t="str">
        <f t="shared" si="2"/>
        <v>Infiammabile</v>
      </c>
      <c r="AF26" s="11" t="str">
        <f t="shared" si="3"/>
        <v>Infiammabile</v>
      </c>
    </row>
    <row r="27" spans="1:32">
      <c r="C27">
        <f t="shared" si="4"/>
        <v>27</v>
      </c>
      <c r="G27" t="s">
        <v>52</v>
      </c>
      <c r="H27">
        <v>1</v>
      </c>
      <c r="I27" t="s">
        <v>57</v>
      </c>
      <c r="J27">
        <v>1.5</v>
      </c>
      <c r="K27">
        <v>100</v>
      </c>
      <c r="L27">
        <v>0.1</v>
      </c>
      <c r="S27">
        <f t="shared" si="0"/>
        <v>27</v>
      </c>
      <c r="Z27">
        <v>0</v>
      </c>
      <c r="AA27">
        <v>0</v>
      </c>
      <c r="AB27">
        <f t="shared" si="1"/>
        <v>1</v>
      </c>
      <c r="AC27" t="str">
        <f t="shared" si="2"/>
        <v>Combustibile</v>
      </c>
      <c r="AF27" s="11" t="str">
        <f t="shared" si="3"/>
        <v>Combustibile</v>
      </c>
    </row>
    <row r="28" spans="1:32">
      <c r="A28" s="156">
        <v>16</v>
      </c>
      <c r="B28" s="156" t="s">
        <v>62</v>
      </c>
      <c r="C28" s="156">
        <f t="shared" si="4"/>
        <v>28</v>
      </c>
      <c r="D28" s="156" t="s">
        <v>54</v>
      </c>
      <c r="E28" s="156" t="s">
        <v>55</v>
      </c>
      <c r="F28" s="156">
        <v>150</v>
      </c>
      <c r="G28" s="159" t="s">
        <v>37</v>
      </c>
      <c r="H28" s="156">
        <v>1</v>
      </c>
      <c r="I28" s="159" t="s">
        <v>37</v>
      </c>
      <c r="J28" s="156">
        <v>1</v>
      </c>
      <c r="K28" s="156"/>
      <c r="L28" s="156"/>
      <c r="M28" s="156"/>
      <c r="N28" s="156"/>
      <c r="S28">
        <f t="shared" si="0"/>
        <v>28</v>
      </c>
      <c r="Z28">
        <v>0</v>
      </c>
      <c r="AA28">
        <v>0</v>
      </c>
      <c r="AB28">
        <f t="shared" si="1"/>
        <v>1</v>
      </c>
      <c r="AC28" t="str">
        <f t="shared" si="2"/>
        <v>Non Def.</v>
      </c>
      <c r="AF28" s="11" t="str">
        <f t="shared" si="3"/>
        <v>Non Def.</v>
      </c>
    </row>
    <row r="29" spans="1:32">
      <c r="A29" s="156">
        <v>17</v>
      </c>
      <c r="B29" s="156" t="s">
        <v>64</v>
      </c>
      <c r="C29" s="156">
        <f t="shared" si="4"/>
        <v>29</v>
      </c>
      <c r="D29" s="156" t="s">
        <v>48</v>
      </c>
      <c r="E29" s="156" t="s">
        <v>44</v>
      </c>
      <c r="F29" s="156">
        <v>8</v>
      </c>
      <c r="G29" s="158" t="s">
        <v>37</v>
      </c>
      <c r="H29" s="156">
        <v>1</v>
      </c>
      <c r="I29" s="159" t="s">
        <v>37</v>
      </c>
      <c r="J29" s="156">
        <v>1</v>
      </c>
      <c r="K29" s="156">
        <v>1000</v>
      </c>
      <c r="L29" s="156">
        <v>0.1</v>
      </c>
      <c r="S29">
        <f t="shared" si="0"/>
        <v>29</v>
      </c>
      <c r="Z29">
        <v>0</v>
      </c>
      <c r="AA29">
        <v>0</v>
      </c>
      <c r="AB29">
        <f t="shared" si="1"/>
        <v>1</v>
      </c>
      <c r="AC29" t="str">
        <f t="shared" si="2"/>
        <v>Non Def.</v>
      </c>
      <c r="AF29" s="11" t="str">
        <f t="shared" si="3"/>
        <v>Non Def.</v>
      </c>
    </row>
    <row r="30" spans="1:32">
      <c r="A30" s="164">
        <v>18</v>
      </c>
      <c r="B30" s="164" t="s">
        <v>65</v>
      </c>
      <c r="C30" s="164">
        <f t="shared" si="4"/>
        <v>30</v>
      </c>
      <c r="D30" s="164" t="s">
        <v>326</v>
      </c>
      <c r="E30" s="164" t="s">
        <v>44</v>
      </c>
      <c r="F30" s="164">
        <v>8</v>
      </c>
      <c r="G30" s="165" t="s">
        <v>66</v>
      </c>
      <c r="H30" s="164">
        <v>1</v>
      </c>
      <c r="I30" s="166" t="s">
        <v>37</v>
      </c>
      <c r="J30" s="164">
        <v>1</v>
      </c>
      <c r="K30" s="164">
        <v>1000</v>
      </c>
      <c r="L30" s="164">
        <v>0.1</v>
      </c>
      <c r="S30">
        <f t="shared" si="0"/>
        <v>30</v>
      </c>
      <c r="Z30">
        <v>0</v>
      </c>
      <c r="AA30">
        <v>0</v>
      </c>
      <c r="AB30">
        <f t="shared" si="1"/>
        <v>1</v>
      </c>
      <c r="AC30" t="str">
        <f t="shared" si="2"/>
        <v>Libera vendita</v>
      </c>
      <c r="AF30" s="11" t="str">
        <f t="shared" si="3"/>
        <v>Libera vendita</v>
      </c>
    </row>
    <row r="31" spans="1:32">
      <c r="A31" s="164"/>
      <c r="B31" s="164"/>
      <c r="C31" s="164">
        <f t="shared" si="4"/>
        <v>31</v>
      </c>
      <c r="D31" s="164"/>
      <c r="E31" s="164"/>
      <c r="F31" s="164"/>
      <c r="G31" s="164" t="s">
        <v>67</v>
      </c>
      <c r="H31" s="164">
        <v>2</v>
      </c>
      <c r="I31" s="164"/>
      <c r="J31" s="164"/>
      <c r="K31" s="164"/>
      <c r="L31" s="164"/>
      <c r="S31">
        <f t="shared" si="0"/>
        <v>31</v>
      </c>
      <c r="Z31">
        <v>0</v>
      </c>
      <c r="AA31">
        <v>0</v>
      </c>
      <c r="AB31">
        <f t="shared" si="1"/>
        <v>2</v>
      </c>
      <c r="AC31" t="str">
        <f t="shared" si="2"/>
        <v>Non Libera vend.</v>
      </c>
      <c r="AF31" s="11" t="str">
        <f t="shared" si="3"/>
        <v>Non Libera vend.</v>
      </c>
    </row>
    <row r="32" spans="1:32">
      <c r="A32" s="8">
        <v>19</v>
      </c>
      <c r="B32" s="8" t="s">
        <v>68</v>
      </c>
      <c r="C32" s="8">
        <f t="shared" si="4"/>
        <v>32</v>
      </c>
      <c r="D32" s="8" t="s">
        <v>48</v>
      </c>
      <c r="E32" s="8" t="s">
        <v>44</v>
      </c>
      <c r="F32" s="8">
        <v>8</v>
      </c>
      <c r="G32" s="10" t="s">
        <v>37</v>
      </c>
      <c r="H32" s="8">
        <v>1</v>
      </c>
      <c r="I32" s="9" t="s">
        <v>37</v>
      </c>
      <c r="J32" s="8">
        <v>1</v>
      </c>
      <c r="K32" s="8">
        <v>1000</v>
      </c>
      <c r="L32" s="8">
        <v>0.1</v>
      </c>
      <c r="M32" s="8"/>
      <c r="N32" s="8"/>
      <c r="O32" t="s">
        <v>69</v>
      </c>
      <c r="S32">
        <f t="shared" si="0"/>
        <v>32</v>
      </c>
      <c r="Z32">
        <v>0</v>
      </c>
      <c r="AA32">
        <v>0</v>
      </c>
      <c r="AB32">
        <f t="shared" si="1"/>
        <v>1</v>
      </c>
      <c r="AC32" t="str">
        <f t="shared" si="2"/>
        <v>Non Def.</v>
      </c>
      <c r="AF32" s="11" t="str">
        <f t="shared" si="3"/>
        <v>Non Def.</v>
      </c>
    </row>
    <row r="33" spans="1:32">
      <c r="A33" s="8">
        <v>20</v>
      </c>
      <c r="B33" s="8" t="s">
        <v>70</v>
      </c>
      <c r="C33" s="8">
        <f t="shared" si="4"/>
        <v>33</v>
      </c>
      <c r="D33" s="8" t="s">
        <v>48</v>
      </c>
      <c r="E33" s="8" t="s">
        <v>44</v>
      </c>
      <c r="F33" s="8">
        <v>8</v>
      </c>
      <c r="G33" s="10" t="s">
        <v>37</v>
      </c>
      <c r="H33" s="8">
        <v>1</v>
      </c>
      <c r="I33" s="9" t="s">
        <v>37</v>
      </c>
      <c r="J33" s="8">
        <v>1</v>
      </c>
      <c r="K33" s="8">
        <v>1000</v>
      </c>
      <c r="L33" s="8">
        <v>0.1</v>
      </c>
      <c r="M33" s="8"/>
      <c r="N33" s="8"/>
      <c r="O33" t="s">
        <v>69</v>
      </c>
      <c r="S33">
        <f t="shared" si="0"/>
        <v>33</v>
      </c>
      <c r="Z33">
        <v>0</v>
      </c>
      <c r="AA33">
        <v>0</v>
      </c>
      <c r="AB33">
        <f t="shared" si="1"/>
        <v>1</v>
      </c>
      <c r="AC33" t="str">
        <f t="shared" si="2"/>
        <v>Non Def.</v>
      </c>
      <c r="AF33" s="11" t="str">
        <f t="shared" si="3"/>
        <v>Non Def.</v>
      </c>
    </row>
    <row r="34" spans="1:32">
      <c r="A34" s="8">
        <v>21</v>
      </c>
      <c r="B34" s="8" t="s">
        <v>71</v>
      </c>
      <c r="C34" s="8">
        <f t="shared" si="4"/>
        <v>34</v>
      </c>
      <c r="D34" s="8" t="s">
        <v>48</v>
      </c>
      <c r="E34" s="8" t="s">
        <v>44</v>
      </c>
      <c r="F34" s="8">
        <v>8</v>
      </c>
      <c r="G34" s="10" t="s">
        <v>37</v>
      </c>
      <c r="H34" s="8">
        <v>1</v>
      </c>
      <c r="I34" s="9" t="s">
        <v>37</v>
      </c>
      <c r="J34" s="8">
        <v>1</v>
      </c>
      <c r="K34" s="8">
        <v>1000</v>
      </c>
      <c r="L34" s="8">
        <v>0.1</v>
      </c>
      <c r="M34" s="8"/>
      <c r="N34" s="8"/>
      <c r="O34" t="s">
        <v>69</v>
      </c>
      <c r="S34">
        <f t="shared" si="0"/>
        <v>34</v>
      </c>
      <c r="Z34">
        <v>0</v>
      </c>
      <c r="AA34">
        <v>0</v>
      </c>
      <c r="AB34">
        <f t="shared" si="1"/>
        <v>1</v>
      </c>
      <c r="AC34" t="str">
        <f t="shared" si="2"/>
        <v>Non Def.</v>
      </c>
      <c r="AF34" s="11" t="str">
        <f t="shared" si="3"/>
        <v>Non Def.</v>
      </c>
    </row>
    <row r="35" spans="1:32">
      <c r="A35" s="8">
        <v>22</v>
      </c>
      <c r="B35" s="8" t="s">
        <v>72</v>
      </c>
      <c r="C35" s="8">
        <f t="shared" si="4"/>
        <v>35</v>
      </c>
      <c r="D35" s="8" t="s">
        <v>48</v>
      </c>
      <c r="E35" s="8" t="s">
        <v>44</v>
      </c>
      <c r="F35" s="8">
        <v>8</v>
      </c>
      <c r="G35" s="10" t="s">
        <v>37</v>
      </c>
      <c r="H35" s="8">
        <v>1</v>
      </c>
      <c r="I35" s="9" t="s">
        <v>37</v>
      </c>
      <c r="J35" s="8">
        <v>1</v>
      </c>
      <c r="K35" s="8">
        <v>1000</v>
      </c>
      <c r="L35" s="8">
        <v>0.1</v>
      </c>
      <c r="M35" s="8"/>
      <c r="N35" s="8"/>
      <c r="O35" t="s">
        <v>73</v>
      </c>
      <c r="S35">
        <f t="shared" si="0"/>
        <v>35</v>
      </c>
      <c r="Z35">
        <v>0</v>
      </c>
      <c r="AA35">
        <v>0</v>
      </c>
      <c r="AB35">
        <f t="shared" si="1"/>
        <v>1</v>
      </c>
      <c r="AC35" t="str">
        <f t="shared" si="2"/>
        <v>Non Def.</v>
      </c>
      <c r="AF35" s="11" t="str">
        <f t="shared" si="3"/>
        <v>Non Def.</v>
      </c>
    </row>
    <row r="36" spans="1:32">
      <c r="A36" s="164">
        <v>23</v>
      </c>
      <c r="B36" s="164" t="s">
        <v>75</v>
      </c>
      <c r="C36" s="164">
        <f t="shared" si="4"/>
        <v>36</v>
      </c>
      <c r="D36" s="164" t="s">
        <v>326</v>
      </c>
      <c r="E36" s="164" t="s">
        <v>44</v>
      </c>
      <c r="F36" s="164">
        <v>8</v>
      </c>
      <c r="G36" s="165" t="s">
        <v>37</v>
      </c>
      <c r="H36" s="164">
        <v>1</v>
      </c>
      <c r="I36" s="166" t="s">
        <v>37</v>
      </c>
      <c r="J36" s="164">
        <v>1</v>
      </c>
      <c r="K36" s="164">
        <v>1000</v>
      </c>
      <c r="L36" s="164">
        <v>0.1</v>
      </c>
      <c r="M36" s="8"/>
      <c r="N36" s="8"/>
      <c r="O36" t="s">
        <v>69</v>
      </c>
      <c r="S36">
        <f t="shared" si="0"/>
        <v>36</v>
      </c>
      <c r="Z36">
        <v>0</v>
      </c>
      <c r="AA36">
        <v>0</v>
      </c>
      <c r="AB36">
        <f t="shared" si="1"/>
        <v>1</v>
      </c>
      <c r="AC36" t="str">
        <f t="shared" si="2"/>
        <v>Non Def.</v>
      </c>
      <c r="AF36" s="11" t="str">
        <f t="shared" si="3"/>
        <v>Non Def.</v>
      </c>
    </row>
    <row r="37" spans="1:32" ht="28.8">
      <c r="A37" s="183">
        <v>24</v>
      </c>
      <c r="B37" s="183" t="s">
        <v>74</v>
      </c>
      <c r="C37" s="183">
        <f t="shared" si="4"/>
        <v>37</v>
      </c>
      <c r="D37" s="183" t="s">
        <v>48</v>
      </c>
      <c r="E37" s="183" t="s">
        <v>44</v>
      </c>
      <c r="F37" s="183">
        <v>8</v>
      </c>
      <c r="G37" s="184" t="s">
        <v>331</v>
      </c>
      <c r="H37" s="183" t="s">
        <v>215</v>
      </c>
      <c r="I37" s="185" t="s">
        <v>37</v>
      </c>
      <c r="J37" s="183">
        <v>1</v>
      </c>
      <c r="K37" s="183">
        <v>1000</v>
      </c>
      <c r="L37" s="183">
        <v>0.1</v>
      </c>
      <c r="M37" s="183">
        <v>2</v>
      </c>
      <c r="N37" s="183">
        <v>10</v>
      </c>
      <c r="O37" s="186" t="s">
        <v>114</v>
      </c>
      <c r="P37" s="183"/>
      <c r="Q37" s="183"/>
      <c r="R37" s="183"/>
      <c r="S37" s="183">
        <f t="shared" si="0"/>
        <v>37</v>
      </c>
      <c r="Z37">
        <v>0</v>
      </c>
      <c r="AA37">
        <v>0</v>
      </c>
      <c r="AB37" t="str">
        <f t="shared" si="1"/>
        <v>F</v>
      </c>
      <c r="AC37" t="str">
        <f t="shared" si="2"/>
        <v>Potenzialità [t]
INSERIRE VALORE</v>
      </c>
      <c r="AF37" s="11" t="str">
        <f t="shared" si="3"/>
        <v>Potenzialità [t]
INSERIRE VALORE</v>
      </c>
    </row>
    <row r="38" spans="1:32" s="183" customFormat="1" ht="28.8">
      <c r="A38" s="183">
        <v>25</v>
      </c>
      <c r="B38" s="183" t="s">
        <v>76</v>
      </c>
      <c r="C38" s="183">
        <f t="shared" si="4"/>
        <v>38</v>
      </c>
      <c r="D38" s="183" t="s">
        <v>48</v>
      </c>
      <c r="E38" s="183" t="s">
        <v>44</v>
      </c>
      <c r="F38" s="183">
        <v>8</v>
      </c>
      <c r="G38" s="187" t="s">
        <v>332</v>
      </c>
      <c r="H38" s="186" t="s">
        <v>215</v>
      </c>
      <c r="I38" s="185" t="s">
        <v>37</v>
      </c>
      <c r="J38" s="183">
        <v>1</v>
      </c>
      <c r="K38" s="183">
        <v>1000</v>
      </c>
      <c r="L38" s="183">
        <v>0.1</v>
      </c>
      <c r="M38" s="183">
        <v>2</v>
      </c>
      <c r="N38" s="183">
        <v>500</v>
      </c>
      <c r="O38" s="186" t="s">
        <v>138</v>
      </c>
      <c r="S38" s="183">
        <f t="shared" si="0"/>
        <v>38</v>
      </c>
      <c r="Z38" s="183">
        <v>0</v>
      </c>
      <c r="AA38" s="183">
        <v>0</v>
      </c>
      <c r="AB38" s="183" t="str">
        <f t="shared" si="1"/>
        <v>F</v>
      </c>
      <c r="AC38" s="183" t="str">
        <f t="shared" si="2"/>
        <v>massa [kg]
INSERIRE VALORE</v>
      </c>
      <c r="AF38" s="186" t="str">
        <f t="shared" si="3"/>
        <v>massa [kg]
INSERIRE VALORE</v>
      </c>
    </row>
    <row r="39" spans="1:32">
      <c r="A39" s="8">
        <v>26</v>
      </c>
      <c r="B39" s="8" t="s">
        <v>77</v>
      </c>
      <c r="C39" s="8">
        <f t="shared" si="4"/>
        <v>39</v>
      </c>
      <c r="D39" s="164" t="s">
        <v>326</v>
      </c>
      <c r="E39" s="8" t="s">
        <v>44</v>
      </c>
      <c r="F39" s="8">
        <v>8</v>
      </c>
      <c r="G39" s="10" t="s">
        <v>37</v>
      </c>
      <c r="H39" s="8">
        <v>1</v>
      </c>
      <c r="I39" s="9" t="s">
        <v>37</v>
      </c>
      <c r="J39" s="8">
        <v>1</v>
      </c>
      <c r="K39" s="8">
        <v>1000</v>
      </c>
      <c r="L39" s="8">
        <v>0.1</v>
      </c>
      <c r="M39" s="8"/>
      <c r="N39" s="8"/>
      <c r="O39" t="s">
        <v>69</v>
      </c>
      <c r="S39">
        <f t="shared" si="0"/>
        <v>39</v>
      </c>
      <c r="Z39">
        <v>0</v>
      </c>
      <c r="AA39">
        <v>0</v>
      </c>
      <c r="AB39">
        <f t="shared" si="1"/>
        <v>1</v>
      </c>
      <c r="AC39" t="str">
        <f t="shared" si="2"/>
        <v>Non Def.</v>
      </c>
      <c r="AF39" s="11" t="str">
        <f t="shared" si="3"/>
        <v>Non Def.</v>
      </c>
    </row>
    <row r="40" spans="1:32" s="11" customFormat="1">
      <c r="A40" s="11">
        <v>27</v>
      </c>
      <c r="B40" s="11" t="s">
        <v>78</v>
      </c>
      <c r="C40" s="11">
        <f t="shared" si="4"/>
        <v>40</v>
      </c>
      <c r="D40" s="11" t="s">
        <v>48</v>
      </c>
      <c r="E40" s="11" t="s">
        <v>44</v>
      </c>
      <c r="F40" s="11">
        <v>6</v>
      </c>
      <c r="G40" s="11" t="s">
        <v>250</v>
      </c>
      <c r="H40" s="11" t="s">
        <v>215</v>
      </c>
      <c r="I40" t="s">
        <v>83</v>
      </c>
      <c r="J40">
        <v>0.6</v>
      </c>
      <c r="K40">
        <v>1000</v>
      </c>
      <c r="L40">
        <v>0.1</v>
      </c>
      <c r="M40">
        <v>2</v>
      </c>
      <c r="N40">
        <v>20</v>
      </c>
      <c r="O40" s="11" t="s">
        <v>84</v>
      </c>
      <c r="S40">
        <f t="shared" si="0"/>
        <v>40</v>
      </c>
      <c r="Z40">
        <v>1</v>
      </c>
      <c r="AA40">
        <v>0</v>
      </c>
      <c r="AB40" t="str">
        <f t="shared" si="1"/>
        <v>F</v>
      </c>
      <c r="AC40" t="str">
        <f t="shared" si="2"/>
        <v>massa [t]
INSERIRE VALORE
INSERIRE VALORE</v>
      </c>
      <c r="AF40" s="11" t="str">
        <f t="shared" si="3"/>
        <v>massa [t]
INSERIRE VALORE
INSERIRE VALORE</v>
      </c>
    </row>
    <row r="41" spans="1:32" s="11" customFormat="1">
      <c r="C41" s="11">
        <f t="shared" si="4"/>
        <v>41</v>
      </c>
      <c r="G41" s="11" t="s">
        <v>251</v>
      </c>
      <c r="H41" s="11">
        <v>0</v>
      </c>
      <c r="I41" t="s">
        <v>82</v>
      </c>
      <c r="J41" s="11">
        <v>1</v>
      </c>
      <c r="K41">
        <v>1000</v>
      </c>
      <c r="L41">
        <v>0.1</v>
      </c>
      <c r="M41"/>
      <c r="N41"/>
      <c r="S41">
        <f t="shared" si="0"/>
        <v>41</v>
      </c>
      <c r="Z41">
        <v>1</v>
      </c>
      <c r="AA41">
        <v>0</v>
      </c>
      <c r="AB41">
        <f t="shared" si="1"/>
        <v>0</v>
      </c>
      <c r="AC41" t="str">
        <f t="shared" si="2"/>
        <v xml:space="preserve">
INSERIRE VALORE</v>
      </c>
      <c r="AF41" s="11" t="str">
        <f t="shared" si="3"/>
        <v/>
      </c>
    </row>
    <row r="42" spans="1:32" s="11" customFormat="1">
      <c r="A42" s="11">
        <v>28</v>
      </c>
      <c r="B42" s="11" t="s">
        <v>86</v>
      </c>
      <c r="C42" s="11">
        <f t="shared" si="4"/>
        <v>42</v>
      </c>
      <c r="D42" s="11" t="s">
        <v>48</v>
      </c>
      <c r="E42" s="11" t="s">
        <v>44</v>
      </c>
      <c r="F42" s="11">
        <v>6</v>
      </c>
      <c r="G42" s="11" t="s">
        <v>250</v>
      </c>
      <c r="H42" s="11" t="s">
        <v>215</v>
      </c>
      <c r="I42" s="9" t="s">
        <v>37</v>
      </c>
      <c r="J42">
        <v>1</v>
      </c>
      <c r="K42">
        <v>1000</v>
      </c>
      <c r="L42">
        <v>0.1</v>
      </c>
      <c r="M42">
        <v>2</v>
      </c>
      <c r="N42">
        <v>50</v>
      </c>
      <c r="O42" s="11" t="s">
        <v>87</v>
      </c>
      <c r="S42">
        <f t="shared" si="0"/>
        <v>42</v>
      </c>
      <c r="Z42">
        <v>1</v>
      </c>
      <c r="AA42">
        <v>0</v>
      </c>
      <c r="AB42" t="str">
        <f t="shared" si="1"/>
        <v>F</v>
      </c>
      <c r="AC42" t="str">
        <f t="shared" si="2"/>
        <v>massa [t]
INSERIRE VALORE
INSERIRE VALORE</v>
      </c>
      <c r="AF42" s="11" t="str">
        <f t="shared" si="3"/>
        <v>massa [t]
INSERIRE VALORE
INSERIRE VALORE</v>
      </c>
    </row>
    <row r="43" spans="1:32" s="11" customFormat="1">
      <c r="C43" s="11">
        <f t="shared" si="4"/>
        <v>43</v>
      </c>
      <c r="G43" s="11" t="s">
        <v>251</v>
      </c>
      <c r="H43" s="11">
        <v>0</v>
      </c>
      <c r="I43"/>
      <c r="K43"/>
      <c r="L43"/>
      <c r="M43"/>
      <c r="N43"/>
      <c r="S43">
        <f t="shared" si="0"/>
        <v>43</v>
      </c>
      <c r="Z43">
        <v>1</v>
      </c>
      <c r="AA43">
        <v>0</v>
      </c>
      <c r="AB43">
        <f t="shared" si="1"/>
        <v>0</v>
      </c>
      <c r="AC43" t="str">
        <f t="shared" si="2"/>
        <v xml:space="preserve">
INSERIRE VALORE</v>
      </c>
      <c r="AF43" s="11" t="str">
        <f t="shared" si="3"/>
        <v/>
      </c>
    </row>
    <row r="44" spans="1:32" s="167" customFormat="1">
      <c r="A44" s="167">
        <v>29</v>
      </c>
      <c r="B44" s="167" t="s">
        <v>88</v>
      </c>
      <c r="C44" s="167">
        <f t="shared" si="4"/>
        <v>44</v>
      </c>
      <c r="D44" s="164" t="s">
        <v>330</v>
      </c>
      <c r="E44" s="167" t="s">
        <v>44</v>
      </c>
      <c r="F44" s="167">
        <v>6</v>
      </c>
      <c r="G44" s="165" t="s">
        <v>37</v>
      </c>
      <c r="H44" s="164">
        <v>1</v>
      </c>
      <c r="I44" s="166" t="s">
        <v>37</v>
      </c>
      <c r="J44" s="164">
        <v>1</v>
      </c>
      <c r="K44" s="164">
        <v>1000</v>
      </c>
      <c r="L44" s="164">
        <v>0.1</v>
      </c>
      <c r="M44" s="164"/>
      <c r="N44" s="164"/>
      <c r="S44" s="164">
        <f t="shared" si="0"/>
        <v>44</v>
      </c>
      <c r="Z44" s="164">
        <v>0</v>
      </c>
      <c r="AA44" s="164">
        <v>0</v>
      </c>
      <c r="AB44" s="164">
        <f t="shared" si="1"/>
        <v>1</v>
      </c>
      <c r="AC44" s="164" t="str">
        <f t="shared" si="2"/>
        <v>Non Def.</v>
      </c>
      <c r="AF44" s="167" t="str">
        <f t="shared" si="3"/>
        <v>Non Def.</v>
      </c>
    </row>
    <row r="45" spans="1:32" s="167" customFormat="1">
      <c r="A45" s="167">
        <v>30</v>
      </c>
      <c r="B45" s="167" t="s">
        <v>89</v>
      </c>
      <c r="C45" s="167">
        <f t="shared" si="4"/>
        <v>45</v>
      </c>
      <c r="D45" s="164" t="s">
        <v>330</v>
      </c>
      <c r="E45" s="167" t="s">
        <v>44</v>
      </c>
      <c r="F45" s="167">
        <v>6</v>
      </c>
      <c r="G45" s="165" t="s">
        <v>37</v>
      </c>
      <c r="H45" s="164">
        <v>1</v>
      </c>
      <c r="I45" s="166" t="s">
        <v>37</v>
      </c>
      <c r="J45" s="164">
        <v>1</v>
      </c>
      <c r="K45" s="164">
        <v>1000</v>
      </c>
      <c r="L45" s="164">
        <v>0.1</v>
      </c>
      <c r="S45" s="164">
        <f t="shared" si="0"/>
        <v>45</v>
      </c>
      <c r="Z45" s="164">
        <v>0</v>
      </c>
      <c r="AA45" s="164">
        <v>0</v>
      </c>
      <c r="AB45" s="164">
        <f t="shared" si="1"/>
        <v>1</v>
      </c>
      <c r="AC45" s="164" t="str">
        <f t="shared" si="2"/>
        <v>Non Def.</v>
      </c>
      <c r="AF45" s="167" t="str">
        <f t="shared" si="3"/>
        <v>Non Def.</v>
      </c>
    </row>
    <row r="46" spans="1:32" s="11" customFormat="1">
      <c r="A46" s="11">
        <v>31</v>
      </c>
      <c r="B46" s="11" t="s">
        <v>90</v>
      </c>
      <c r="C46" s="11">
        <f t="shared" si="4"/>
        <v>46</v>
      </c>
      <c r="D46" s="11" t="s">
        <v>48</v>
      </c>
      <c r="E46" s="11" t="s">
        <v>44</v>
      </c>
      <c r="F46" s="11">
        <v>6</v>
      </c>
      <c r="G46" s="11" t="s">
        <v>250</v>
      </c>
      <c r="H46" s="11" t="s">
        <v>215</v>
      </c>
      <c r="I46" s="9" t="s">
        <v>37</v>
      </c>
      <c r="J46" s="8">
        <v>1</v>
      </c>
      <c r="K46" s="8">
        <v>1000</v>
      </c>
      <c r="L46" s="8">
        <v>0.1</v>
      </c>
      <c r="M46">
        <v>2</v>
      </c>
      <c r="N46">
        <v>50</v>
      </c>
      <c r="O46" s="11" t="s">
        <v>87</v>
      </c>
      <c r="S46">
        <f t="shared" si="0"/>
        <v>46</v>
      </c>
      <c r="Z46">
        <v>1</v>
      </c>
      <c r="AA46">
        <v>0</v>
      </c>
      <c r="AB46" t="str">
        <f t="shared" si="1"/>
        <v>F</v>
      </c>
      <c r="AC46" t="str">
        <f t="shared" si="2"/>
        <v>massa [t]
INSERIRE VALORE
INSERIRE VALORE</v>
      </c>
      <c r="AF46" s="11" t="str">
        <f t="shared" si="3"/>
        <v>massa [t]
INSERIRE VALORE
INSERIRE VALORE</v>
      </c>
    </row>
    <row r="47" spans="1:32" s="11" customFormat="1">
      <c r="A47" s="11">
        <v>32</v>
      </c>
      <c r="B47" s="11" t="s">
        <v>91</v>
      </c>
      <c r="C47" s="11">
        <f t="shared" si="4"/>
        <v>47</v>
      </c>
      <c r="D47" s="11" t="s">
        <v>48</v>
      </c>
      <c r="E47" s="11" t="s">
        <v>44</v>
      </c>
      <c r="F47" s="11">
        <v>6</v>
      </c>
      <c r="G47" s="11" t="s">
        <v>250</v>
      </c>
      <c r="H47" s="11" t="s">
        <v>215</v>
      </c>
      <c r="I47" s="9" t="s">
        <v>37</v>
      </c>
      <c r="J47" s="8">
        <v>1</v>
      </c>
      <c r="K47" s="8">
        <v>1000</v>
      </c>
      <c r="L47" s="8">
        <v>0.1</v>
      </c>
      <c r="M47">
        <v>2</v>
      </c>
      <c r="N47">
        <v>50</v>
      </c>
      <c r="O47" s="11" t="s">
        <v>87</v>
      </c>
      <c r="S47">
        <f t="shared" si="0"/>
        <v>47</v>
      </c>
      <c r="Z47">
        <v>1</v>
      </c>
      <c r="AA47">
        <v>0</v>
      </c>
      <c r="AB47" t="str">
        <f t="shared" si="1"/>
        <v>F</v>
      </c>
      <c r="AC47" t="str">
        <f t="shared" si="2"/>
        <v>massa [t]
INSERIRE VALORE
INSERIRE VALORE</v>
      </c>
      <c r="AF47" s="11" t="str">
        <f t="shared" si="3"/>
        <v>massa [t]
INSERIRE VALORE
INSERIRE VALORE</v>
      </c>
    </row>
    <row r="48" spans="1:32" s="11" customFormat="1">
      <c r="A48" s="11">
        <v>33</v>
      </c>
      <c r="B48" s="11" t="s">
        <v>92</v>
      </c>
      <c r="C48" s="11">
        <f t="shared" si="4"/>
        <v>48</v>
      </c>
      <c r="D48" s="11" t="s">
        <v>48</v>
      </c>
      <c r="E48" s="11" t="s">
        <v>44</v>
      </c>
      <c r="F48" s="11">
        <v>6</v>
      </c>
      <c r="G48" s="11" t="s">
        <v>250</v>
      </c>
      <c r="H48" s="11" t="s">
        <v>215</v>
      </c>
      <c r="I48" t="s">
        <v>93</v>
      </c>
      <c r="J48">
        <v>1</v>
      </c>
      <c r="K48">
        <v>1000</v>
      </c>
      <c r="L48">
        <v>0.1</v>
      </c>
      <c r="M48">
        <v>2</v>
      </c>
      <c r="N48">
        <v>50</v>
      </c>
      <c r="O48" s="11" t="s">
        <v>87</v>
      </c>
      <c r="S48">
        <f t="shared" si="0"/>
        <v>48</v>
      </c>
      <c r="Z48">
        <v>1</v>
      </c>
      <c r="AA48">
        <v>0</v>
      </c>
      <c r="AB48" t="str">
        <f t="shared" si="1"/>
        <v>F</v>
      </c>
      <c r="AC48" t="str">
        <f t="shared" si="2"/>
        <v>massa [t]
INSERIRE VALORE
INSERIRE VALORE</v>
      </c>
      <c r="AF48" s="11" t="str">
        <f t="shared" si="3"/>
        <v>massa [t]
INSERIRE VALORE
INSERIRE VALORE</v>
      </c>
    </row>
    <row r="49" spans="1:32" s="11" customFormat="1">
      <c r="C49" s="11">
        <f t="shared" si="4"/>
        <v>49</v>
      </c>
      <c r="G49" s="11" t="s">
        <v>251</v>
      </c>
      <c r="H49" s="11">
        <v>0</v>
      </c>
      <c r="I49" t="s">
        <v>94</v>
      </c>
      <c r="J49" s="11">
        <v>1.5</v>
      </c>
      <c r="K49">
        <v>1000</v>
      </c>
      <c r="L49">
        <v>0.1</v>
      </c>
      <c r="M49"/>
      <c r="N49"/>
      <c r="S49">
        <f t="shared" si="0"/>
        <v>49</v>
      </c>
      <c r="Z49">
        <v>1</v>
      </c>
      <c r="AA49">
        <v>0</v>
      </c>
      <c r="AB49">
        <f t="shared" si="1"/>
        <v>0</v>
      </c>
      <c r="AC49" t="str">
        <f t="shared" si="2"/>
        <v xml:space="preserve">
INSERIRE VALORE</v>
      </c>
      <c r="AF49" s="11" t="str">
        <f t="shared" si="3"/>
        <v/>
      </c>
    </row>
    <row r="50" spans="1:32" s="11" customFormat="1">
      <c r="A50" s="11">
        <v>34</v>
      </c>
      <c r="B50" s="11" t="s">
        <v>95</v>
      </c>
      <c r="C50" s="11">
        <f t="shared" si="4"/>
        <v>50</v>
      </c>
      <c r="D50" s="11" t="s">
        <v>48</v>
      </c>
      <c r="E50" s="11" t="s">
        <v>44</v>
      </c>
      <c r="F50" s="11">
        <v>4</v>
      </c>
      <c r="G50" s="11" t="s">
        <v>250</v>
      </c>
      <c r="H50" s="11" t="s">
        <v>215</v>
      </c>
      <c r="I50" s="9" t="s">
        <v>232</v>
      </c>
      <c r="J50">
        <v>1</v>
      </c>
      <c r="K50">
        <v>1000</v>
      </c>
      <c r="L50">
        <v>0.1</v>
      </c>
      <c r="M50">
        <v>2</v>
      </c>
      <c r="N50">
        <v>50</v>
      </c>
      <c r="O50" s="11" t="s">
        <v>87</v>
      </c>
      <c r="S50">
        <f t="shared" si="0"/>
        <v>50</v>
      </c>
      <c r="Z50">
        <v>1</v>
      </c>
      <c r="AA50">
        <v>0</v>
      </c>
      <c r="AB50" t="str">
        <f t="shared" si="1"/>
        <v>F</v>
      </c>
      <c r="AC50" t="str">
        <f t="shared" si="2"/>
        <v>massa [t]
INSERIRE VALORE
INSERIRE VALORE</v>
      </c>
      <c r="AF50" s="11" t="str">
        <f t="shared" si="3"/>
        <v>massa [t]
INSERIRE VALORE
INSERIRE VALORE</v>
      </c>
    </row>
    <row r="51" spans="1:32" s="11" customFormat="1">
      <c r="G51" s="11" t="s">
        <v>251</v>
      </c>
      <c r="H51" s="11">
        <v>0</v>
      </c>
      <c r="I51" s="9" t="s">
        <v>233</v>
      </c>
      <c r="J51">
        <v>2</v>
      </c>
      <c r="K51"/>
      <c r="L51"/>
      <c r="M51"/>
      <c r="N51"/>
      <c r="S51"/>
      <c r="Z51">
        <v>1</v>
      </c>
      <c r="AA51">
        <v>0</v>
      </c>
      <c r="AB51">
        <f t="shared" si="1"/>
        <v>0</v>
      </c>
      <c r="AC51" t="str">
        <f t="shared" si="2"/>
        <v xml:space="preserve">
INSERIRE VALORE</v>
      </c>
      <c r="AF51" s="11" t="str">
        <f t="shared" si="3"/>
        <v/>
      </c>
    </row>
    <row r="52" spans="1:32" s="11" customFormat="1">
      <c r="A52" s="11">
        <v>35</v>
      </c>
      <c r="B52" t="s">
        <v>96</v>
      </c>
      <c r="C52" s="11">
        <f t="shared" si="4"/>
        <v>52</v>
      </c>
      <c r="D52" s="11" t="s">
        <v>48</v>
      </c>
      <c r="E52" s="11" t="s">
        <v>44</v>
      </c>
      <c r="F52" s="11">
        <v>6</v>
      </c>
      <c r="G52" s="11" t="s">
        <v>250</v>
      </c>
      <c r="H52" s="11" t="s">
        <v>215</v>
      </c>
      <c r="I52" s="2" t="s">
        <v>56</v>
      </c>
      <c r="J52">
        <v>1</v>
      </c>
      <c r="K52">
        <v>1000</v>
      </c>
      <c r="L52">
        <v>0.1</v>
      </c>
      <c r="M52">
        <v>2</v>
      </c>
      <c r="N52">
        <v>5</v>
      </c>
      <c r="O52" s="11" t="s">
        <v>97</v>
      </c>
      <c r="S52">
        <f t="shared" si="0"/>
        <v>52</v>
      </c>
      <c r="Z52">
        <v>1</v>
      </c>
      <c r="AA52">
        <v>0</v>
      </c>
      <c r="AB52" t="str">
        <f t="shared" si="1"/>
        <v>F</v>
      </c>
      <c r="AC52" t="str">
        <f t="shared" si="2"/>
        <v>massa [t]
INSERIRE VALORE
INSERIRE VALORE</v>
      </c>
      <c r="AF52" s="11" t="str">
        <f t="shared" si="3"/>
        <v>massa [t]
INSERIRE VALORE
INSERIRE VALORE</v>
      </c>
    </row>
    <row r="53" spans="1:32" s="11" customFormat="1">
      <c r="C53" s="11">
        <f t="shared" si="4"/>
        <v>53</v>
      </c>
      <c r="G53" s="11" t="s">
        <v>251</v>
      </c>
      <c r="H53" s="11">
        <v>0</v>
      </c>
      <c r="I53" s="11" t="s">
        <v>98</v>
      </c>
      <c r="J53" s="11">
        <v>1.3</v>
      </c>
      <c r="K53">
        <v>1000</v>
      </c>
      <c r="L53">
        <v>0.1</v>
      </c>
      <c r="S53">
        <f t="shared" si="0"/>
        <v>53</v>
      </c>
      <c r="Z53">
        <v>1</v>
      </c>
      <c r="AA53">
        <v>0</v>
      </c>
      <c r="AB53">
        <f t="shared" si="1"/>
        <v>0</v>
      </c>
      <c r="AC53" t="str">
        <f t="shared" si="2"/>
        <v xml:space="preserve">
INSERIRE VALORE</v>
      </c>
      <c r="AF53" s="11" t="str">
        <f t="shared" si="3"/>
        <v/>
      </c>
    </row>
    <row r="54" spans="1:32" s="11" customFormat="1">
      <c r="A54" s="11">
        <v>36</v>
      </c>
      <c r="B54" s="11" t="s">
        <v>99</v>
      </c>
      <c r="C54" s="11">
        <f t="shared" ref="C54:C116" si="5">+ROW(A54)</f>
        <v>54</v>
      </c>
      <c r="D54" s="11" t="s">
        <v>48</v>
      </c>
      <c r="E54" s="11" t="s">
        <v>44</v>
      </c>
      <c r="F54" s="11">
        <v>4</v>
      </c>
      <c r="G54" s="11" t="s">
        <v>250</v>
      </c>
      <c r="H54" s="11" t="s">
        <v>215</v>
      </c>
      <c r="I54" s="9" t="s">
        <v>37</v>
      </c>
      <c r="J54">
        <v>1</v>
      </c>
      <c r="K54">
        <v>1000</v>
      </c>
      <c r="L54">
        <v>0.1</v>
      </c>
      <c r="M54">
        <v>2</v>
      </c>
      <c r="N54">
        <v>50</v>
      </c>
      <c r="O54" s="11" t="s">
        <v>87</v>
      </c>
      <c r="S54">
        <f t="shared" si="0"/>
        <v>54</v>
      </c>
      <c r="Z54">
        <v>1</v>
      </c>
      <c r="AA54">
        <v>0</v>
      </c>
      <c r="AB54" t="str">
        <f t="shared" si="1"/>
        <v>F</v>
      </c>
      <c r="AC54" t="str">
        <f t="shared" si="2"/>
        <v>massa [t]
INSERIRE VALORE
INSERIRE VALORE</v>
      </c>
      <c r="AF54" s="11" t="str">
        <f t="shared" si="3"/>
        <v>massa [t]
INSERIRE VALORE
INSERIRE VALORE</v>
      </c>
    </row>
    <row r="55" spans="1:32" s="11" customFormat="1">
      <c r="A55" s="11">
        <v>37</v>
      </c>
      <c r="B55" s="11" t="s">
        <v>100</v>
      </c>
      <c r="C55" s="11">
        <f t="shared" si="5"/>
        <v>55</v>
      </c>
      <c r="D55" s="11" t="s">
        <v>48</v>
      </c>
      <c r="E55" s="11" t="s">
        <v>44</v>
      </c>
      <c r="F55" s="11">
        <v>7</v>
      </c>
      <c r="G55" s="11" t="s">
        <v>250</v>
      </c>
      <c r="H55" s="11" t="s">
        <v>215</v>
      </c>
      <c r="I55" s="2" t="s">
        <v>56</v>
      </c>
      <c r="J55">
        <v>1</v>
      </c>
      <c r="K55">
        <v>1000</v>
      </c>
      <c r="L55">
        <v>0.1</v>
      </c>
      <c r="M55">
        <v>2</v>
      </c>
      <c r="N55">
        <v>5</v>
      </c>
      <c r="O55" s="11" t="s">
        <v>97</v>
      </c>
      <c r="S55">
        <f t="shared" si="0"/>
        <v>55</v>
      </c>
      <c r="Z55">
        <v>1</v>
      </c>
      <c r="AA55">
        <v>0</v>
      </c>
      <c r="AB55" t="str">
        <f t="shared" si="1"/>
        <v>F</v>
      </c>
      <c r="AC55" t="str">
        <f t="shared" si="2"/>
        <v>massa [t]
INSERIRE VALORE
INSERIRE VALORE</v>
      </c>
      <c r="AF55" s="11" t="str">
        <f t="shared" si="3"/>
        <v>massa [t]
INSERIRE VALORE
INSERIRE VALORE</v>
      </c>
    </row>
    <row r="56" spans="1:32" s="11" customFormat="1">
      <c r="C56" s="11">
        <f t="shared" si="5"/>
        <v>56</v>
      </c>
      <c r="G56" s="11" t="s">
        <v>251</v>
      </c>
      <c r="H56" s="11">
        <v>0</v>
      </c>
      <c r="I56" s="11" t="s">
        <v>101</v>
      </c>
      <c r="J56" s="11">
        <v>1.5</v>
      </c>
      <c r="S56">
        <f t="shared" si="0"/>
        <v>56</v>
      </c>
      <c r="Z56">
        <v>1</v>
      </c>
      <c r="AA56">
        <v>0</v>
      </c>
      <c r="AB56">
        <f t="shared" si="1"/>
        <v>0</v>
      </c>
      <c r="AC56" t="str">
        <f t="shared" si="2"/>
        <v xml:space="preserve">
INSERIRE VALORE</v>
      </c>
      <c r="AF56" s="11" t="str">
        <f t="shared" si="3"/>
        <v/>
      </c>
    </row>
    <row r="57" spans="1:32" s="11" customFormat="1">
      <c r="A57" s="11">
        <v>38</v>
      </c>
      <c r="B57" s="11" t="s">
        <v>102</v>
      </c>
      <c r="C57" s="11">
        <f t="shared" si="5"/>
        <v>57</v>
      </c>
      <c r="D57" s="11" t="s">
        <v>48</v>
      </c>
      <c r="E57" s="11" t="s">
        <v>44</v>
      </c>
      <c r="F57" s="11">
        <v>6</v>
      </c>
      <c r="G57" s="11" t="s">
        <v>250</v>
      </c>
      <c r="H57" s="11" t="s">
        <v>215</v>
      </c>
      <c r="I57" s="2" t="s">
        <v>56</v>
      </c>
      <c r="J57">
        <v>1</v>
      </c>
      <c r="K57">
        <v>1000</v>
      </c>
      <c r="L57">
        <v>0.1</v>
      </c>
      <c r="M57">
        <v>2</v>
      </c>
      <c r="N57">
        <v>5</v>
      </c>
      <c r="O57" s="11" t="s">
        <v>97</v>
      </c>
      <c r="S57">
        <f t="shared" si="0"/>
        <v>57</v>
      </c>
      <c r="Z57">
        <v>1</v>
      </c>
      <c r="AA57">
        <v>0</v>
      </c>
      <c r="AB57" t="str">
        <f t="shared" si="1"/>
        <v>F</v>
      </c>
      <c r="AC57" t="str">
        <f t="shared" si="2"/>
        <v>massa [t]
INSERIRE VALORE
INSERIRE VALORE</v>
      </c>
      <c r="AF57" s="11" t="str">
        <f t="shared" si="3"/>
        <v>massa [t]
INSERIRE VALORE
INSERIRE VALORE</v>
      </c>
    </row>
    <row r="58" spans="1:32" s="11" customFormat="1">
      <c r="C58" s="11">
        <f t="shared" si="5"/>
        <v>58</v>
      </c>
      <c r="G58" s="11" t="s">
        <v>251</v>
      </c>
      <c r="H58" s="11">
        <v>0</v>
      </c>
      <c r="I58" s="11" t="s">
        <v>103</v>
      </c>
      <c r="J58" s="11">
        <v>1.5</v>
      </c>
      <c r="S58">
        <f t="shared" si="0"/>
        <v>58</v>
      </c>
      <c r="Z58">
        <v>1</v>
      </c>
      <c r="AA58">
        <v>0</v>
      </c>
      <c r="AB58">
        <f t="shared" si="1"/>
        <v>0</v>
      </c>
      <c r="AC58" t="str">
        <f t="shared" si="2"/>
        <v xml:space="preserve">
INSERIRE VALORE</v>
      </c>
      <c r="AF58" s="11" t="str">
        <f t="shared" si="3"/>
        <v/>
      </c>
    </row>
    <row r="59" spans="1:32">
      <c r="A59" s="11">
        <v>39</v>
      </c>
      <c r="B59" t="s">
        <v>104</v>
      </c>
      <c r="C59" s="11">
        <f t="shared" si="5"/>
        <v>59</v>
      </c>
      <c r="D59" s="11" t="s">
        <v>48</v>
      </c>
      <c r="E59" s="11" t="s">
        <v>44</v>
      </c>
      <c r="F59" s="11">
        <v>8</v>
      </c>
      <c r="G59" s="10" t="s">
        <v>37</v>
      </c>
      <c r="H59" s="8">
        <v>1</v>
      </c>
      <c r="I59" s="9" t="s">
        <v>37</v>
      </c>
      <c r="J59" s="8">
        <v>1</v>
      </c>
      <c r="K59">
        <v>1000</v>
      </c>
      <c r="L59">
        <v>0.1</v>
      </c>
      <c r="S59">
        <f t="shared" si="0"/>
        <v>59</v>
      </c>
      <c r="Z59">
        <v>0</v>
      </c>
      <c r="AA59">
        <v>0</v>
      </c>
      <c r="AB59">
        <f t="shared" si="1"/>
        <v>1</v>
      </c>
      <c r="AC59" t="str">
        <f t="shared" si="2"/>
        <v>Non Def.</v>
      </c>
      <c r="AF59" s="11" t="str">
        <f t="shared" si="3"/>
        <v>Non Def.</v>
      </c>
    </row>
    <row r="60" spans="1:32">
      <c r="A60" s="11">
        <v>40</v>
      </c>
      <c r="B60" s="11" t="s">
        <v>105</v>
      </c>
      <c r="C60" s="11">
        <f t="shared" si="5"/>
        <v>60</v>
      </c>
      <c r="D60" s="11" t="s">
        <v>48</v>
      </c>
      <c r="E60" s="11" t="s">
        <v>44</v>
      </c>
      <c r="F60" s="11">
        <v>8</v>
      </c>
      <c r="G60" s="11" t="s">
        <v>250</v>
      </c>
      <c r="H60" s="11" t="s">
        <v>215</v>
      </c>
      <c r="I60" s="2" t="s">
        <v>56</v>
      </c>
      <c r="J60">
        <v>0.6</v>
      </c>
      <c r="K60">
        <v>1000</v>
      </c>
      <c r="L60">
        <v>0.1</v>
      </c>
      <c r="M60">
        <v>2</v>
      </c>
      <c r="N60">
        <v>5</v>
      </c>
      <c r="O60" s="11" t="s">
        <v>97</v>
      </c>
      <c r="S60">
        <f t="shared" si="0"/>
        <v>60</v>
      </c>
      <c r="Z60">
        <v>1</v>
      </c>
      <c r="AA60">
        <v>0</v>
      </c>
      <c r="AB60" t="str">
        <f t="shared" si="1"/>
        <v>F</v>
      </c>
      <c r="AC60" t="str">
        <f t="shared" si="2"/>
        <v>massa [t]
INSERIRE VALORE
INSERIRE VALORE</v>
      </c>
      <c r="AF60" s="11" t="str">
        <f t="shared" si="3"/>
        <v>massa [t]
INSERIRE VALORE
INSERIRE VALORE</v>
      </c>
    </row>
    <row r="61" spans="1:32">
      <c r="C61" s="11">
        <f t="shared" si="5"/>
        <v>61</v>
      </c>
      <c r="G61" t="s">
        <v>251</v>
      </c>
      <c r="H61">
        <v>0</v>
      </c>
      <c r="I61" s="11" t="s">
        <v>103</v>
      </c>
      <c r="J61">
        <v>1</v>
      </c>
      <c r="S61">
        <f t="shared" si="0"/>
        <v>61</v>
      </c>
      <c r="Z61">
        <v>1</v>
      </c>
      <c r="AA61">
        <v>0</v>
      </c>
      <c r="AB61">
        <f t="shared" si="1"/>
        <v>0</v>
      </c>
      <c r="AC61" t="str">
        <f t="shared" si="2"/>
        <v xml:space="preserve">
INSERIRE VALORE</v>
      </c>
      <c r="AF61" s="11" t="str">
        <f t="shared" si="3"/>
        <v/>
      </c>
    </row>
    <row r="62" spans="1:32">
      <c r="A62" s="11">
        <v>41</v>
      </c>
      <c r="B62" t="s">
        <v>106</v>
      </c>
      <c r="C62" s="11">
        <f t="shared" si="5"/>
        <v>62</v>
      </c>
      <c r="D62" s="11" t="s">
        <v>48</v>
      </c>
      <c r="E62" s="11" t="s">
        <v>44</v>
      </c>
      <c r="F62" s="11">
        <v>6</v>
      </c>
      <c r="G62" s="10" t="s">
        <v>37</v>
      </c>
      <c r="H62" s="8">
        <v>1</v>
      </c>
      <c r="I62" s="11" t="s">
        <v>37</v>
      </c>
      <c r="J62">
        <v>1</v>
      </c>
      <c r="K62">
        <v>1000</v>
      </c>
      <c r="L62">
        <v>0.1</v>
      </c>
      <c r="S62">
        <f t="shared" si="0"/>
        <v>62</v>
      </c>
      <c r="Z62">
        <v>0</v>
      </c>
      <c r="AA62">
        <v>0</v>
      </c>
      <c r="AB62">
        <f t="shared" si="1"/>
        <v>1</v>
      </c>
      <c r="AC62" t="str">
        <f t="shared" si="2"/>
        <v>Non Def.</v>
      </c>
      <c r="AF62" s="11" t="str">
        <f t="shared" si="3"/>
        <v>Non Def.</v>
      </c>
    </row>
    <row r="63" spans="1:32">
      <c r="C63" s="11">
        <f t="shared" si="5"/>
        <v>63</v>
      </c>
      <c r="G63" s="11"/>
      <c r="H63" s="11"/>
      <c r="J63">
        <v>1</v>
      </c>
      <c r="S63">
        <f t="shared" si="0"/>
        <v>63</v>
      </c>
      <c r="Z63">
        <v>0</v>
      </c>
      <c r="AA63">
        <v>0</v>
      </c>
      <c r="AB63">
        <f t="shared" si="1"/>
        <v>0</v>
      </c>
      <c r="AC63">
        <f t="shared" si="2"/>
        <v>0</v>
      </c>
      <c r="AF63" s="11" t="str">
        <f t="shared" si="3"/>
        <v/>
      </c>
    </row>
    <row r="64" spans="1:32">
      <c r="A64" s="11">
        <v>42</v>
      </c>
      <c r="B64" t="s">
        <v>107</v>
      </c>
      <c r="C64" s="11">
        <f t="shared" si="5"/>
        <v>64</v>
      </c>
      <c r="D64" s="11" t="s">
        <v>48</v>
      </c>
      <c r="E64" s="11" t="s">
        <v>44</v>
      </c>
      <c r="F64" s="11">
        <v>6</v>
      </c>
      <c r="G64" s="10" t="s">
        <v>37</v>
      </c>
      <c r="H64" s="11">
        <v>1</v>
      </c>
      <c r="I64" s="10" t="s">
        <v>37</v>
      </c>
      <c r="J64">
        <v>1</v>
      </c>
      <c r="K64">
        <v>1000</v>
      </c>
      <c r="L64">
        <v>0.1</v>
      </c>
      <c r="S64">
        <f t="shared" si="0"/>
        <v>64</v>
      </c>
      <c r="Z64">
        <v>0</v>
      </c>
      <c r="AA64">
        <v>0</v>
      </c>
      <c r="AB64">
        <f t="shared" si="1"/>
        <v>1</v>
      </c>
      <c r="AC64" t="str">
        <f t="shared" si="2"/>
        <v>Non Def.</v>
      </c>
      <c r="AF64" s="11" t="str">
        <f t="shared" si="3"/>
        <v>Non Def.</v>
      </c>
    </row>
    <row r="65" spans="1:32" s="168" customFormat="1">
      <c r="A65" s="168">
        <v>43</v>
      </c>
      <c r="B65" s="168" t="s">
        <v>108</v>
      </c>
      <c r="C65" s="169">
        <f t="shared" si="5"/>
        <v>65</v>
      </c>
      <c r="D65" s="169" t="s">
        <v>48</v>
      </c>
      <c r="E65" s="169" t="s">
        <v>44</v>
      </c>
      <c r="F65" s="169">
        <v>6</v>
      </c>
      <c r="G65" s="169" t="s">
        <v>250</v>
      </c>
      <c r="H65" s="169" t="s">
        <v>215</v>
      </c>
      <c r="I65" s="170" t="s">
        <v>56</v>
      </c>
      <c r="J65" s="168">
        <v>0.6</v>
      </c>
      <c r="K65" s="168">
        <v>1000</v>
      </c>
      <c r="L65" s="168">
        <v>0.1</v>
      </c>
      <c r="M65" s="168">
        <v>2</v>
      </c>
      <c r="N65" s="168">
        <v>5</v>
      </c>
      <c r="O65" s="169" t="s">
        <v>97</v>
      </c>
      <c r="S65" s="168">
        <f t="shared" si="0"/>
        <v>65</v>
      </c>
      <c r="Z65" s="168">
        <v>0</v>
      </c>
      <c r="AA65" s="168">
        <v>0</v>
      </c>
      <c r="AB65" s="168" t="str">
        <f t="shared" si="1"/>
        <v>F</v>
      </c>
      <c r="AC65" s="168" t="str">
        <f t="shared" si="2"/>
        <v>massa [t]
INSERIRE VALORE</v>
      </c>
      <c r="AF65" s="169" t="str">
        <f t="shared" si="3"/>
        <v>massa [t]
INSERIRE VALORE</v>
      </c>
    </row>
    <row r="66" spans="1:32" s="168" customFormat="1">
      <c r="C66" s="169">
        <f t="shared" si="5"/>
        <v>66</v>
      </c>
      <c r="G66" s="168" t="s">
        <v>251</v>
      </c>
      <c r="H66" s="168">
        <v>0</v>
      </c>
      <c r="I66" s="169" t="s">
        <v>103</v>
      </c>
      <c r="J66" s="168">
        <v>1</v>
      </c>
      <c r="S66" s="168">
        <f t="shared" si="0"/>
        <v>66</v>
      </c>
      <c r="Z66" s="168">
        <v>0</v>
      </c>
      <c r="AA66" s="168">
        <v>0</v>
      </c>
      <c r="AB66" s="168">
        <f t="shared" si="1"/>
        <v>0</v>
      </c>
      <c r="AC66" s="168" t="str">
        <f t="shared" si="2"/>
        <v/>
      </c>
      <c r="AF66" s="169" t="str">
        <f t="shared" si="3"/>
        <v/>
      </c>
    </row>
    <row r="67" spans="1:32">
      <c r="A67">
        <v>44</v>
      </c>
      <c r="B67" t="s">
        <v>109</v>
      </c>
      <c r="C67" s="11">
        <f t="shared" si="5"/>
        <v>67</v>
      </c>
      <c r="D67" s="11" t="s">
        <v>48</v>
      </c>
      <c r="E67" s="11" t="s">
        <v>44</v>
      </c>
      <c r="F67" s="11">
        <v>6</v>
      </c>
      <c r="G67" s="11" t="s">
        <v>250</v>
      </c>
      <c r="H67" s="11" t="s">
        <v>215</v>
      </c>
      <c r="I67" s="2" t="s">
        <v>56</v>
      </c>
      <c r="J67">
        <v>0.6</v>
      </c>
      <c r="K67">
        <v>1000</v>
      </c>
      <c r="L67">
        <v>0.1</v>
      </c>
      <c r="M67">
        <v>2</v>
      </c>
      <c r="N67">
        <v>5</v>
      </c>
      <c r="O67" s="11" t="s">
        <v>97</v>
      </c>
      <c r="S67">
        <f t="shared" ref="S67:S113" si="6">+C67</f>
        <v>67</v>
      </c>
      <c r="Z67">
        <v>1</v>
      </c>
      <c r="AA67">
        <v>0</v>
      </c>
      <c r="AB67" t="str">
        <f t="shared" ref="AB67:AB115" si="7">+IF(M67="",H67,"F")</f>
        <v>F</v>
      </c>
      <c r="AC67" t="str">
        <f t="shared" ref="AC67:AC115" si="8">+IF(Z67=1,G67 &amp; CHAR(10) &amp;  "INSERIRE VALORE",G67)</f>
        <v>massa [t]
INSERIRE VALORE
INSERIRE VALORE</v>
      </c>
      <c r="AF67" s="11" t="str">
        <f t="shared" ref="AF67:AF115" si="9">+IF(G67="","",AC67)</f>
        <v>massa [t]
INSERIRE VALORE
INSERIRE VALORE</v>
      </c>
    </row>
    <row r="68" spans="1:32">
      <c r="C68" s="11">
        <f t="shared" si="5"/>
        <v>68</v>
      </c>
      <c r="G68" t="s">
        <v>251</v>
      </c>
      <c r="H68">
        <v>0</v>
      </c>
      <c r="I68" s="11" t="s">
        <v>103</v>
      </c>
      <c r="J68">
        <v>1</v>
      </c>
      <c r="S68">
        <f t="shared" si="6"/>
        <v>68</v>
      </c>
      <c r="Z68">
        <v>1</v>
      </c>
      <c r="AA68">
        <v>0</v>
      </c>
      <c r="AB68">
        <f t="shared" si="7"/>
        <v>0</v>
      </c>
      <c r="AC68" t="str">
        <f t="shared" si="8"/>
        <v xml:space="preserve">
INSERIRE VALORE</v>
      </c>
      <c r="AF68" s="11" t="str">
        <f t="shared" si="9"/>
        <v/>
      </c>
    </row>
    <row r="69" spans="1:32">
      <c r="A69">
        <v>45</v>
      </c>
      <c r="B69" t="s">
        <v>110</v>
      </c>
      <c r="C69" s="11">
        <f t="shared" si="5"/>
        <v>69</v>
      </c>
      <c r="D69" s="11" t="s">
        <v>48</v>
      </c>
      <c r="E69" s="11" t="s">
        <v>44</v>
      </c>
      <c r="F69" s="11">
        <v>6</v>
      </c>
      <c r="G69" s="10" t="s">
        <v>37</v>
      </c>
      <c r="H69" s="11">
        <v>1</v>
      </c>
      <c r="I69" s="10" t="s">
        <v>37</v>
      </c>
      <c r="J69">
        <v>1</v>
      </c>
      <c r="K69">
        <v>1000</v>
      </c>
      <c r="L69">
        <v>0.1</v>
      </c>
      <c r="S69">
        <f t="shared" si="6"/>
        <v>69</v>
      </c>
      <c r="Z69">
        <v>0</v>
      </c>
      <c r="AA69">
        <v>0</v>
      </c>
      <c r="AB69">
        <f t="shared" si="7"/>
        <v>1</v>
      </c>
      <c r="AC69" t="str">
        <f t="shared" si="8"/>
        <v>Non Def.</v>
      </c>
      <c r="AF69" s="11" t="str">
        <f t="shared" si="9"/>
        <v>Non Def.</v>
      </c>
    </row>
    <row r="70" spans="1:32">
      <c r="C70" s="11">
        <f t="shared" si="5"/>
        <v>70</v>
      </c>
      <c r="G70" t="s">
        <v>251</v>
      </c>
      <c r="H70">
        <v>0</v>
      </c>
      <c r="S70">
        <f t="shared" si="6"/>
        <v>70</v>
      </c>
      <c r="Z70">
        <v>0</v>
      </c>
      <c r="AA70">
        <v>0</v>
      </c>
      <c r="AB70">
        <f t="shared" si="7"/>
        <v>0</v>
      </c>
      <c r="AC70" t="str">
        <f t="shared" si="8"/>
        <v/>
      </c>
      <c r="AF70" s="11" t="str">
        <f t="shared" si="9"/>
        <v/>
      </c>
    </row>
    <row r="71" spans="1:32">
      <c r="A71">
        <v>46</v>
      </c>
      <c r="B71" t="s">
        <v>111</v>
      </c>
      <c r="C71" s="11">
        <f t="shared" si="5"/>
        <v>71</v>
      </c>
      <c r="D71" s="11" t="s">
        <v>48</v>
      </c>
      <c r="E71" s="11" t="s">
        <v>44</v>
      </c>
      <c r="F71" s="11">
        <v>4</v>
      </c>
      <c r="G71" s="11" t="s">
        <v>250</v>
      </c>
      <c r="H71" s="11" t="s">
        <v>215</v>
      </c>
      <c r="I71" s="10" t="s">
        <v>37</v>
      </c>
      <c r="J71">
        <v>1</v>
      </c>
      <c r="K71">
        <v>300</v>
      </c>
      <c r="L71">
        <v>0.1</v>
      </c>
      <c r="M71">
        <v>2</v>
      </c>
      <c r="N71">
        <v>50</v>
      </c>
      <c r="O71" s="11" t="s">
        <v>87</v>
      </c>
      <c r="S71">
        <f t="shared" si="6"/>
        <v>71</v>
      </c>
      <c r="Z71">
        <v>1</v>
      </c>
      <c r="AA71">
        <v>0</v>
      </c>
      <c r="AB71" t="str">
        <f t="shared" si="7"/>
        <v>F</v>
      </c>
      <c r="AC71" t="str">
        <f t="shared" si="8"/>
        <v>massa [t]
INSERIRE VALORE
INSERIRE VALORE</v>
      </c>
      <c r="AF71" s="11" t="str">
        <f t="shared" si="9"/>
        <v>massa [t]
INSERIRE VALORE
INSERIRE VALORE</v>
      </c>
    </row>
    <row r="72" spans="1:32">
      <c r="A72">
        <v>47</v>
      </c>
      <c r="B72" t="s">
        <v>112</v>
      </c>
      <c r="C72" s="11">
        <f t="shared" si="5"/>
        <v>72</v>
      </c>
      <c r="D72" s="11" t="s">
        <v>48</v>
      </c>
      <c r="E72" s="11" t="s">
        <v>44</v>
      </c>
      <c r="F72" s="11">
        <v>6</v>
      </c>
      <c r="G72" s="11" t="s">
        <v>250</v>
      </c>
      <c r="H72" s="11" t="s">
        <v>215</v>
      </c>
      <c r="I72" s="2" t="s">
        <v>56</v>
      </c>
      <c r="J72">
        <v>0.6</v>
      </c>
      <c r="K72">
        <v>1000</v>
      </c>
      <c r="L72">
        <v>0.1</v>
      </c>
      <c r="M72">
        <v>2</v>
      </c>
      <c r="N72">
        <v>10</v>
      </c>
      <c r="O72" s="11" t="s">
        <v>114</v>
      </c>
      <c r="S72">
        <f t="shared" si="6"/>
        <v>72</v>
      </c>
      <c r="Z72">
        <v>1</v>
      </c>
      <c r="AA72">
        <v>0</v>
      </c>
      <c r="AB72" t="str">
        <f t="shared" si="7"/>
        <v>F</v>
      </c>
      <c r="AC72" t="str">
        <f t="shared" si="8"/>
        <v>massa [t]
INSERIRE VALORE
INSERIRE VALORE</v>
      </c>
      <c r="AF72" s="11" t="str">
        <f t="shared" si="9"/>
        <v>massa [t]
INSERIRE VALORE
INSERIRE VALORE</v>
      </c>
    </row>
    <row r="73" spans="1:32">
      <c r="C73" s="11">
        <f t="shared" si="5"/>
        <v>73</v>
      </c>
      <c r="G73" t="s">
        <v>251</v>
      </c>
      <c r="H73">
        <v>0</v>
      </c>
      <c r="I73" t="s">
        <v>113</v>
      </c>
      <c r="J73">
        <v>1</v>
      </c>
      <c r="S73">
        <f t="shared" si="6"/>
        <v>73</v>
      </c>
      <c r="Z73">
        <v>0</v>
      </c>
      <c r="AA73">
        <v>0</v>
      </c>
      <c r="AB73">
        <f t="shared" si="7"/>
        <v>0</v>
      </c>
      <c r="AC73" t="str">
        <f t="shared" si="8"/>
        <v/>
      </c>
      <c r="AF73" s="11" t="str">
        <f t="shared" si="9"/>
        <v/>
      </c>
    </row>
    <row r="74" spans="1:32">
      <c r="A74">
        <v>48</v>
      </c>
      <c r="B74" t="s">
        <v>115</v>
      </c>
      <c r="C74" s="11">
        <f t="shared" si="5"/>
        <v>74</v>
      </c>
      <c r="D74" s="11" t="s">
        <v>116</v>
      </c>
      <c r="E74" s="11" t="s">
        <v>117</v>
      </c>
      <c r="F74" s="11">
        <v>30</v>
      </c>
      <c r="G74" s="10" t="s">
        <v>37</v>
      </c>
      <c r="H74" s="11">
        <v>1</v>
      </c>
      <c r="I74" s="10" t="s">
        <v>37</v>
      </c>
      <c r="J74">
        <v>1</v>
      </c>
      <c r="S74">
        <f t="shared" si="6"/>
        <v>74</v>
      </c>
      <c r="Z74">
        <v>0</v>
      </c>
      <c r="AA74">
        <v>0</v>
      </c>
      <c r="AB74">
        <f t="shared" si="7"/>
        <v>1</v>
      </c>
      <c r="AC74" t="str">
        <f t="shared" si="8"/>
        <v>Non Def.</v>
      </c>
      <c r="AF74" s="11" t="str">
        <f t="shared" si="9"/>
        <v>Non Def.</v>
      </c>
    </row>
    <row r="75" spans="1:32">
      <c r="A75">
        <v>49</v>
      </c>
      <c r="B75" t="s">
        <v>118</v>
      </c>
      <c r="C75" s="11">
        <f t="shared" si="5"/>
        <v>75</v>
      </c>
      <c r="D75" s="11" t="s">
        <v>116</v>
      </c>
      <c r="E75" s="11" t="s">
        <v>119</v>
      </c>
      <c r="F75" s="11">
        <v>4</v>
      </c>
      <c r="G75" s="10" t="s">
        <v>120</v>
      </c>
      <c r="H75" s="11">
        <v>0.6</v>
      </c>
      <c r="I75" s="10" t="s">
        <v>37</v>
      </c>
      <c r="J75">
        <v>1</v>
      </c>
      <c r="S75">
        <f t="shared" si="6"/>
        <v>75</v>
      </c>
      <c r="Z75">
        <v>0</v>
      </c>
      <c r="AA75">
        <v>0</v>
      </c>
      <c r="AB75">
        <f t="shared" si="7"/>
        <v>0.6</v>
      </c>
      <c r="AC75" t="str">
        <f t="shared" si="8"/>
        <v>Isolato o all'esterno</v>
      </c>
      <c r="AF75" s="11" t="str">
        <f t="shared" si="9"/>
        <v>Isolato o all'esterno</v>
      </c>
    </row>
    <row r="76" spans="1:32">
      <c r="C76" s="11">
        <f t="shared" si="5"/>
        <v>76</v>
      </c>
      <c r="G76" t="s">
        <v>121</v>
      </c>
      <c r="H76">
        <v>1</v>
      </c>
      <c r="S76">
        <f t="shared" si="6"/>
        <v>76</v>
      </c>
      <c r="Z76">
        <v>0</v>
      </c>
      <c r="AA76">
        <v>0</v>
      </c>
      <c r="AB76">
        <f t="shared" si="7"/>
        <v>1</v>
      </c>
      <c r="AC76" t="str">
        <f t="shared" si="8"/>
        <v>In edificio</v>
      </c>
      <c r="AF76" s="11" t="str">
        <f t="shared" si="9"/>
        <v>In edificio</v>
      </c>
    </row>
    <row r="77" spans="1:32">
      <c r="A77">
        <v>50</v>
      </c>
      <c r="B77" t="s">
        <v>122</v>
      </c>
      <c r="C77" s="11">
        <f t="shared" si="5"/>
        <v>77</v>
      </c>
      <c r="D77" s="11" t="s">
        <v>48</v>
      </c>
      <c r="E77" s="11" t="s">
        <v>44</v>
      </c>
      <c r="F77" s="11">
        <v>6</v>
      </c>
      <c r="G77" s="10" t="s">
        <v>37</v>
      </c>
      <c r="H77" s="11">
        <v>1</v>
      </c>
      <c r="I77" s="10" t="s">
        <v>37</v>
      </c>
      <c r="J77">
        <v>1</v>
      </c>
      <c r="K77">
        <v>1000</v>
      </c>
      <c r="L77">
        <v>0.1</v>
      </c>
      <c r="S77">
        <f t="shared" si="6"/>
        <v>77</v>
      </c>
      <c r="Z77">
        <v>0</v>
      </c>
      <c r="AA77">
        <v>0</v>
      </c>
      <c r="AB77">
        <f t="shared" si="7"/>
        <v>1</v>
      </c>
      <c r="AC77" t="str">
        <f t="shared" si="8"/>
        <v>Non Def.</v>
      </c>
      <c r="AF77" s="11" t="str">
        <f t="shared" si="9"/>
        <v>Non Def.</v>
      </c>
    </row>
    <row r="78" spans="1:32">
      <c r="A78">
        <v>51</v>
      </c>
      <c r="B78" t="s">
        <v>123</v>
      </c>
      <c r="C78" s="11">
        <f t="shared" si="5"/>
        <v>78</v>
      </c>
      <c r="D78" s="11" t="s">
        <v>48</v>
      </c>
      <c r="E78" s="11" t="s">
        <v>44</v>
      </c>
      <c r="F78" s="11">
        <v>6</v>
      </c>
      <c r="G78" s="10" t="s">
        <v>37</v>
      </c>
      <c r="H78" s="11">
        <v>1</v>
      </c>
      <c r="I78" s="10" t="s">
        <v>37</v>
      </c>
      <c r="J78">
        <v>1</v>
      </c>
      <c r="K78">
        <v>1000</v>
      </c>
      <c r="L78">
        <v>0.2</v>
      </c>
      <c r="S78">
        <f t="shared" si="6"/>
        <v>78</v>
      </c>
      <c r="Z78">
        <v>0</v>
      </c>
      <c r="AA78">
        <v>0</v>
      </c>
      <c r="AB78">
        <f t="shared" si="7"/>
        <v>1</v>
      </c>
      <c r="AC78" t="str">
        <f t="shared" si="8"/>
        <v>Non Def.</v>
      </c>
      <c r="AF78" s="11" t="str">
        <f t="shared" si="9"/>
        <v>Non Def.</v>
      </c>
    </row>
    <row r="79" spans="1:32" ht="17.25" customHeight="1">
      <c r="A79">
        <v>52</v>
      </c>
      <c r="B79" t="s">
        <v>124</v>
      </c>
      <c r="C79" s="11">
        <f t="shared" si="5"/>
        <v>79</v>
      </c>
      <c r="D79" s="11" t="s">
        <v>48</v>
      </c>
      <c r="E79" s="11" t="s">
        <v>44</v>
      </c>
      <c r="F79" s="11">
        <v>8</v>
      </c>
      <c r="G79" s="10" t="s">
        <v>37</v>
      </c>
      <c r="H79" s="11">
        <v>1</v>
      </c>
      <c r="I79" s="10" t="s">
        <v>37</v>
      </c>
      <c r="J79">
        <v>1</v>
      </c>
      <c r="K79">
        <v>1000</v>
      </c>
      <c r="L79">
        <v>0.1</v>
      </c>
      <c r="S79">
        <f t="shared" si="6"/>
        <v>79</v>
      </c>
      <c r="Z79">
        <v>0</v>
      </c>
      <c r="AA79">
        <v>0</v>
      </c>
      <c r="AB79">
        <f t="shared" si="7"/>
        <v>1</v>
      </c>
      <c r="AC79" t="str">
        <f t="shared" si="8"/>
        <v>Non Def.</v>
      </c>
      <c r="AF79" s="11" t="str">
        <f t="shared" si="9"/>
        <v>Non Def.</v>
      </c>
    </row>
    <row r="80" spans="1:32" s="11" customFormat="1">
      <c r="A80" s="11">
        <v>53</v>
      </c>
      <c r="B80" s="11" t="s">
        <v>125</v>
      </c>
      <c r="C80" s="11">
        <f t="shared" si="5"/>
        <v>80</v>
      </c>
      <c r="D80" s="11" t="s">
        <v>48</v>
      </c>
      <c r="E80" s="11" t="s">
        <v>44</v>
      </c>
      <c r="F80" s="11">
        <v>6</v>
      </c>
      <c r="G80" s="14" t="s">
        <v>126</v>
      </c>
      <c r="H80" s="11">
        <v>1</v>
      </c>
      <c r="I80" s="14" t="s">
        <v>37</v>
      </c>
      <c r="J80" s="11">
        <v>1</v>
      </c>
      <c r="K80" s="11">
        <v>1000</v>
      </c>
      <c r="L80" s="11">
        <v>0.1</v>
      </c>
      <c r="S80">
        <f t="shared" si="6"/>
        <v>80</v>
      </c>
      <c r="Z80">
        <v>0</v>
      </c>
      <c r="AA80">
        <v>0</v>
      </c>
      <c r="AB80">
        <f t="shared" si="7"/>
        <v>1</v>
      </c>
      <c r="AC80" t="str">
        <f t="shared" si="8"/>
        <v>Solo Veicoli a motore</v>
      </c>
      <c r="AF80" s="11" t="str">
        <f t="shared" si="9"/>
        <v>Solo Veicoli a motore</v>
      </c>
    </row>
    <row r="81" spans="1:32" s="11" customFormat="1">
      <c r="C81" s="11">
        <f t="shared" si="5"/>
        <v>81</v>
      </c>
      <c r="G81" s="11" t="s">
        <v>127</v>
      </c>
      <c r="H81" s="11">
        <v>0.6</v>
      </c>
      <c r="S81">
        <f t="shared" si="6"/>
        <v>81</v>
      </c>
      <c r="Z81">
        <v>0</v>
      </c>
      <c r="AA81">
        <v>0</v>
      </c>
      <c r="AB81">
        <f t="shared" si="7"/>
        <v>0.6</v>
      </c>
      <c r="AC81" t="str">
        <f t="shared" si="8"/>
        <v>Aeromobili o treni</v>
      </c>
      <c r="AF81" s="11" t="str">
        <f t="shared" si="9"/>
        <v>Aeromobili o treni</v>
      </c>
    </row>
    <row r="82" spans="1:32">
      <c r="A82">
        <v>54</v>
      </c>
      <c r="B82" t="s">
        <v>128</v>
      </c>
      <c r="C82" s="11">
        <f t="shared" si="5"/>
        <v>82</v>
      </c>
      <c r="D82" s="11" t="s">
        <v>48</v>
      </c>
      <c r="E82" s="11" t="s">
        <v>44</v>
      </c>
      <c r="F82" s="11">
        <v>6</v>
      </c>
      <c r="G82" s="10" t="s">
        <v>37</v>
      </c>
      <c r="H82" s="11">
        <v>1</v>
      </c>
      <c r="I82" s="10" t="s">
        <v>37</v>
      </c>
      <c r="J82">
        <v>1</v>
      </c>
      <c r="K82">
        <v>1000</v>
      </c>
      <c r="L82">
        <v>0.1</v>
      </c>
      <c r="S82">
        <f t="shared" si="6"/>
        <v>82</v>
      </c>
      <c r="Z82">
        <v>0</v>
      </c>
      <c r="AA82">
        <v>0</v>
      </c>
      <c r="AB82">
        <f t="shared" si="7"/>
        <v>1</v>
      </c>
      <c r="AC82" t="str">
        <f t="shared" si="8"/>
        <v>Non Def.</v>
      </c>
      <c r="AF82" s="11" t="str">
        <f t="shared" si="9"/>
        <v>Non Def.</v>
      </c>
    </row>
    <row r="83" spans="1:32">
      <c r="A83">
        <v>55</v>
      </c>
      <c r="B83" t="s">
        <v>129</v>
      </c>
      <c r="C83" s="11">
        <f t="shared" si="5"/>
        <v>83</v>
      </c>
      <c r="D83" s="11" t="s">
        <v>48</v>
      </c>
      <c r="E83" s="11" t="s">
        <v>44</v>
      </c>
      <c r="F83" s="11">
        <v>6</v>
      </c>
      <c r="G83" s="10" t="s">
        <v>37</v>
      </c>
      <c r="H83" s="11">
        <v>1</v>
      </c>
      <c r="I83" s="10" t="s">
        <v>37</v>
      </c>
      <c r="J83">
        <v>1</v>
      </c>
      <c r="K83">
        <v>1000</v>
      </c>
      <c r="L83">
        <v>0.1</v>
      </c>
      <c r="S83">
        <f t="shared" si="6"/>
        <v>83</v>
      </c>
      <c r="Z83">
        <v>0</v>
      </c>
      <c r="AA83">
        <v>0</v>
      </c>
      <c r="AB83">
        <f t="shared" si="7"/>
        <v>1</v>
      </c>
      <c r="AC83" t="str">
        <f t="shared" si="8"/>
        <v>Non Def.</v>
      </c>
      <c r="AF83" s="11" t="str">
        <f t="shared" si="9"/>
        <v>Non Def.</v>
      </c>
    </row>
    <row r="84" spans="1:32">
      <c r="A84">
        <v>56</v>
      </c>
      <c r="B84" t="s">
        <v>130</v>
      </c>
      <c r="C84" s="11">
        <f t="shared" si="5"/>
        <v>84</v>
      </c>
      <c r="D84" s="11" t="s">
        <v>48</v>
      </c>
      <c r="E84" s="11" t="s">
        <v>44</v>
      </c>
      <c r="F84" s="11">
        <v>6</v>
      </c>
      <c r="G84" s="10" t="s">
        <v>37</v>
      </c>
      <c r="H84" s="11">
        <v>1</v>
      </c>
      <c r="I84" s="10" t="s">
        <v>37</v>
      </c>
      <c r="J84">
        <v>1</v>
      </c>
      <c r="K84">
        <v>1000</v>
      </c>
      <c r="L84">
        <v>0.1</v>
      </c>
      <c r="S84">
        <f t="shared" si="6"/>
        <v>84</v>
      </c>
      <c r="Z84">
        <v>0</v>
      </c>
      <c r="AA84">
        <v>0</v>
      </c>
      <c r="AB84">
        <f t="shared" si="7"/>
        <v>1</v>
      </c>
      <c r="AC84" t="str">
        <f t="shared" si="8"/>
        <v>Non Def.</v>
      </c>
      <c r="AF84" s="11" t="str">
        <f t="shared" si="9"/>
        <v>Non Def.</v>
      </c>
    </row>
    <row r="85" spans="1:32">
      <c r="A85">
        <v>57</v>
      </c>
      <c r="B85" t="s">
        <v>131</v>
      </c>
      <c r="C85" s="11">
        <f t="shared" si="5"/>
        <v>85</v>
      </c>
      <c r="D85" s="11" t="s">
        <v>48</v>
      </c>
      <c r="E85" s="11" t="s">
        <v>44</v>
      </c>
      <c r="F85" s="11">
        <v>6</v>
      </c>
      <c r="G85" s="10" t="s">
        <v>37</v>
      </c>
      <c r="H85" s="11">
        <v>1</v>
      </c>
      <c r="I85" s="10" t="s">
        <v>37</v>
      </c>
      <c r="J85">
        <v>1</v>
      </c>
      <c r="K85">
        <v>1000</v>
      </c>
      <c r="L85">
        <v>0.1</v>
      </c>
      <c r="S85">
        <f t="shared" si="6"/>
        <v>85</v>
      </c>
      <c r="Z85">
        <v>0</v>
      </c>
      <c r="AA85">
        <v>0</v>
      </c>
      <c r="AB85">
        <f t="shared" si="7"/>
        <v>1</v>
      </c>
      <c r="AC85" t="str">
        <f t="shared" si="8"/>
        <v>Non Def.</v>
      </c>
      <c r="AF85" s="11" t="str">
        <f t="shared" si="9"/>
        <v>Non Def.</v>
      </c>
    </row>
    <row r="86" spans="1:32">
      <c r="A86">
        <v>58</v>
      </c>
      <c r="B86" t="s">
        <v>132</v>
      </c>
      <c r="C86" s="11">
        <f t="shared" si="5"/>
        <v>86</v>
      </c>
      <c r="D86" s="11" t="s">
        <v>48</v>
      </c>
      <c r="E86" s="11" t="s">
        <v>44</v>
      </c>
      <c r="F86" s="11">
        <v>6</v>
      </c>
      <c r="G86" s="14" t="s">
        <v>230</v>
      </c>
      <c r="H86" s="11">
        <v>1</v>
      </c>
      <c r="I86" s="10" t="s">
        <v>37</v>
      </c>
      <c r="J86">
        <v>1</v>
      </c>
      <c r="K86">
        <v>1000</v>
      </c>
      <c r="L86">
        <v>0.1</v>
      </c>
      <c r="S86">
        <f t="shared" si="6"/>
        <v>86</v>
      </c>
      <c r="Z86">
        <v>0</v>
      </c>
      <c r="AA86">
        <v>0</v>
      </c>
      <c r="AB86">
        <f t="shared" si="7"/>
        <v>1</v>
      </c>
      <c r="AC86" t="str">
        <f t="shared" si="8"/>
        <v>Categoria B</v>
      </c>
      <c r="AF86" s="11" t="str">
        <f t="shared" si="9"/>
        <v>Categoria B</v>
      </c>
    </row>
    <row r="87" spans="1:32">
      <c r="C87" s="11">
        <f t="shared" si="5"/>
        <v>87</v>
      </c>
      <c r="G87" s="11" t="s">
        <v>229</v>
      </c>
      <c r="H87" s="11">
        <v>1.5</v>
      </c>
      <c r="S87">
        <f t="shared" si="6"/>
        <v>87</v>
      </c>
      <c r="Z87">
        <v>0</v>
      </c>
      <c r="AA87">
        <v>0</v>
      </c>
      <c r="AB87">
        <f t="shared" si="7"/>
        <v>1.5</v>
      </c>
      <c r="AC87" t="str">
        <f t="shared" si="8"/>
        <v>Categoria A</v>
      </c>
      <c r="AF87" s="11" t="str">
        <f t="shared" si="9"/>
        <v>Categoria A</v>
      </c>
    </row>
    <row r="88" spans="1:32">
      <c r="A88" s="156">
        <v>59</v>
      </c>
      <c r="B88" s="156" t="s">
        <v>133</v>
      </c>
      <c r="C88" s="160">
        <f t="shared" si="5"/>
        <v>88</v>
      </c>
      <c r="D88" s="160" t="s">
        <v>48</v>
      </c>
      <c r="E88" s="160" t="s">
        <v>44</v>
      </c>
      <c r="F88" s="160">
        <v>4</v>
      </c>
      <c r="G88" s="158" t="s">
        <v>37</v>
      </c>
      <c r="H88" s="160">
        <v>1</v>
      </c>
      <c r="I88" s="158" t="s">
        <v>37</v>
      </c>
      <c r="J88" s="156">
        <v>1</v>
      </c>
      <c r="K88" s="156">
        <v>1000</v>
      </c>
      <c r="L88" s="156">
        <v>0.1</v>
      </c>
      <c r="S88">
        <f t="shared" si="6"/>
        <v>88</v>
      </c>
      <c r="Z88">
        <v>0</v>
      </c>
      <c r="AA88">
        <v>0</v>
      </c>
      <c r="AB88">
        <f t="shared" si="7"/>
        <v>1</v>
      </c>
      <c r="AC88" t="str">
        <f t="shared" si="8"/>
        <v>Non Def.</v>
      </c>
      <c r="AF88" s="11" t="str">
        <f t="shared" si="9"/>
        <v>Non Def.</v>
      </c>
    </row>
    <row r="89" spans="1:32">
      <c r="A89" s="156">
        <v>60</v>
      </c>
      <c r="B89" s="156" t="s">
        <v>134</v>
      </c>
      <c r="C89" s="160">
        <f t="shared" si="5"/>
        <v>89</v>
      </c>
      <c r="D89" s="160" t="s">
        <v>48</v>
      </c>
      <c r="E89" s="160" t="s">
        <v>44</v>
      </c>
      <c r="F89" s="160">
        <v>6</v>
      </c>
      <c r="G89" s="158" t="s">
        <v>37</v>
      </c>
      <c r="H89" s="160">
        <v>1</v>
      </c>
      <c r="I89" s="158" t="s">
        <v>37</v>
      </c>
      <c r="J89" s="156">
        <v>1</v>
      </c>
      <c r="K89" s="156">
        <v>1000</v>
      </c>
      <c r="L89" s="156">
        <v>0.1</v>
      </c>
      <c r="S89">
        <f t="shared" si="6"/>
        <v>89</v>
      </c>
      <c r="Z89">
        <v>0</v>
      </c>
      <c r="AA89">
        <v>0</v>
      </c>
      <c r="AB89">
        <f t="shared" si="7"/>
        <v>1</v>
      </c>
      <c r="AC89" t="str">
        <f t="shared" si="8"/>
        <v>Non Def.</v>
      </c>
      <c r="AF89" s="11" t="str">
        <f t="shared" si="9"/>
        <v>Non Def.</v>
      </c>
    </row>
    <row r="90" spans="1:32">
      <c r="A90" s="156">
        <v>61</v>
      </c>
      <c r="B90" s="156" t="s">
        <v>135</v>
      </c>
      <c r="C90" s="160">
        <f t="shared" si="5"/>
        <v>90</v>
      </c>
      <c r="D90" s="160" t="s">
        <v>48</v>
      </c>
      <c r="E90" s="160" t="s">
        <v>44</v>
      </c>
      <c r="F90" s="160">
        <v>6</v>
      </c>
      <c r="G90" s="158" t="s">
        <v>37</v>
      </c>
      <c r="H90" s="160">
        <v>1</v>
      </c>
      <c r="I90" s="158" t="s">
        <v>37</v>
      </c>
      <c r="J90" s="156">
        <v>1</v>
      </c>
      <c r="K90" s="156">
        <v>1000</v>
      </c>
      <c r="L90" s="156">
        <v>0.1</v>
      </c>
      <c r="S90">
        <f t="shared" si="6"/>
        <v>90</v>
      </c>
      <c r="Z90">
        <v>0</v>
      </c>
      <c r="AA90">
        <v>0</v>
      </c>
      <c r="AB90">
        <f t="shared" si="7"/>
        <v>1</v>
      </c>
      <c r="AC90" t="str">
        <f t="shared" si="8"/>
        <v>Non Def.</v>
      </c>
      <c r="AF90" s="11" t="str">
        <f t="shared" si="9"/>
        <v>Non Def.</v>
      </c>
    </row>
    <row r="91" spans="1:32">
      <c r="A91" s="156">
        <v>62</v>
      </c>
      <c r="B91" s="156" t="s">
        <v>136</v>
      </c>
      <c r="C91" s="160">
        <f t="shared" si="5"/>
        <v>91</v>
      </c>
      <c r="D91" s="160" t="s">
        <v>48</v>
      </c>
      <c r="E91" s="160" t="s">
        <v>44</v>
      </c>
      <c r="F91" s="160">
        <v>10</v>
      </c>
      <c r="G91" s="158" t="s">
        <v>37</v>
      </c>
      <c r="H91" s="160">
        <v>1</v>
      </c>
      <c r="I91" s="158" t="s">
        <v>37</v>
      </c>
      <c r="J91" s="156">
        <v>1</v>
      </c>
      <c r="K91" s="156">
        <v>1000</v>
      </c>
      <c r="L91" s="156">
        <v>0.1</v>
      </c>
      <c r="S91">
        <f t="shared" si="6"/>
        <v>91</v>
      </c>
      <c r="Z91">
        <v>0</v>
      </c>
      <c r="AA91">
        <v>0</v>
      </c>
      <c r="AB91">
        <f t="shared" si="7"/>
        <v>1</v>
      </c>
      <c r="AC91" t="str">
        <f t="shared" si="8"/>
        <v>Non Def.</v>
      </c>
      <c r="AF91" s="11" t="str">
        <f t="shared" si="9"/>
        <v>Non Def.</v>
      </c>
    </row>
    <row r="92" spans="1:32">
      <c r="A92">
        <v>63</v>
      </c>
      <c r="B92" t="s">
        <v>137</v>
      </c>
      <c r="C92" s="11">
        <f t="shared" si="5"/>
        <v>92</v>
      </c>
      <c r="D92" s="11" t="s">
        <v>48</v>
      </c>
      <c r="E92" s="11" t="s">
        <v>44</v>
      </c>
      <c r="F92" s="11">
        <v>4</v>
      </c>
      <c r="G92" s="11" t="s">
        <v>139</v>
      </c>
      <c r="H92" s="11" t="s">
        <v>215</v>
      </c>
      <c r="I92" s="10" t="s">
        <v>37</v>
      </c>
      <c r="J92">
        <v>1</v>
      </c>
      <c r="K92">
        <v>1000</v>
      </c>
      <c r="L92">
        <v>0.1</v>
      </c>
      <c r="M92">
        <v>2</v>
      </c>
      <c r="N92">
        <v>500</v>
      </c>
      <c r="O92" s="11" t="s">
        <v>138</v>
      </c>
      <c r="S92">
        <f t="shared" si="6"/>
        <v>92</v>
      </c>
      <c r="Z92">
        <v>0</v>
      </c>
      <c r="AA92">
        <v>0</v>
      </c>
      <c r="AB92" t="str">
        <f t="shared" si="7"/>
        <v>F</v>
      </c>
      <c r="AC92" t="str">
        <f t="shared" si="8"/>
        <v>massa [kg]</v>
      </c>
      <c r="AF92" s="11" t="str">
        <f t="shared" si="9"/>
        <v>massa [kg]</v>
      </c>
    </row>
    <row r="93" spans="1:32">
      <c r="A93">
        <v>64</v>
      </c>
      <c r="B93" t="s">
        <v>140</v>
      </c>
      <c r="C93" s="11">
        <f t="shared" si="5"/>
        <v>93</v>
      </c>
      <c r="D93" s="11" t="s">
        <v>48</v>
      </c>
      <c r="E93" s="11" t="s">
        <v>44</v>
      </c>
      <c r="F93" s="11">
        <v>6</v>
      </c>
      <c r="G93" s="10" t="s">
        <v>37</v>
      </c>
      <c r="H93" s="11">
        <v>1</v>
      </c>
      <c r="I93" s="10" t="s">
        <v>37</v>
      </c>
      <c r="J93">
        <v>1</v>
      </c>
      <c r="K93">
        <v>300</v>
      </c>
      <c r="L93">
        <v>0.1</v>
      </c>
      <c r="S93">
        <f t="shared" si="6"/>
        <v>93</v>
      </c>
      <c r="Z93">
        <v>0</v>
      </c>
      <c r="AA93">
        <v>0</v>
      </c>
      <c r="AB93">
        <f t="shared" si="7"/>
        <v>1</v>
      </c>
      <c r="AC93" t="str">
        <f t="shared" si="8"/>
        <v>Non Def.</v>
      </c>
      <c r="AF93" s="11" t="str">
        <f t="shared" si="9"/>
        <v>Non Def.</v>
      </c>
    </row>
    <row r="94" spans="1:32" s="37" customFormat="1" ht="28.8">
      <c r="A94" s="37">
        <v>65</v>
      </c>
      <c r="B94" s="37" t="s">
        <v>141</v>
      </c>
      <c r="C94" s="38">
        <f t="shared" si="5"/>
        <v>94</v>
      </c>
      <c r="D94" s="38" t="s">
        <v>48</v>
      </c>
      <c r="E94" s="38" t="s">
        <v>44</v>
      </c>
      <c r="F94" s="38">
        <v>6</v>
      </c>
      <c r="G94" s="58" t="s">
        <v>249</v>
      </c>
      <c r="H94" s="38" t="s">
        <v>215</v>
      </c>
      <c r="I94" s="39" t="s">
        <v>37</v>
      </c>
      <c r="J94" s="37">
        <v>1</v>
      </c>
      <c r="K94" s="37">
        <v>1000</v>
      </c>
      <c r="L94" s="37">
        <v>0.1</v>
      </c>
      <c r="M94" s="37">
        <v>3</v>
      </c>
      <c r="N94" s="37">
        <v>200</v>
      </c>
      <c r="O94" s="38" t="s">
        <v>325</v>
      </c>
      <c r="S94">
        <f t="shared" si="6"/>
        <v>94</v>
      </c>
      <c r="T94" s="37">
        <v>3</v>
      </c>
      <c r="U94" s="37">
        <v>100</v>
      </c>
      <c r="Z94">
        <v>1</v>
      </c>
      <c r="AA94">
        <v>0</v>
      </c>
      <c r="AB94" t="str">
        <f t="shared" si="7"/>
        <v>F</v>
      </c>
      <c r="AC94" t="str">
        <f t="shared" si="8"/>
        <v>Persone
INSERIRE VALORE
INSERIRE VALORE</v>
      </c>
      <c r="AF94" s="11" t="str">
        <f t="shared" si="9"/>
        <v>Persone
INSERIRE VALORE
INSERIRE VALORE</v>
      </c>
    </row>
    <row r="95" spans="1:32">
      <c r="A95">
        <v>66</v>
      </c>
      <c r="B95" t="s">
        <v>143</v>
      </c>
      <c r="C95" s="11">
        <f t="shared" si="5"/>
        <v>95</v>
      </c>
      <c r="D95" s="11" t="s">
        <v>48</v>
      </c>
      <c r="E95" s="11" t="s">
        <v>44</v>
      </c>
      <c r="F95" s="11">
        <v>6</v>
      </c>
      <c r="G95" s="11" t="s">
        <v>252</v>
      </c>
      <c r="H95" s="11" t="s">
        <v>215</v>
      </c>
      <c r="I95" s="10" t="s">
        <v>37</v>
      </c>
      <c r="J95">
        <v>1</v>
      </c>
      <c r="K95">
        <v>1000</v>
      </c>
      <c r="L95">
        <v>0.4</v>
      </c>
      <c r="M95">
        <v>2</v>
      </c>
      <c r="N95">
        <v>25</v>
      </c>
      <c r="O95" s="11" t="s">
        <v>231</v>
      </c>
      <c r="S95">
        <f t="shared" si="6"/>
        <v>95</v>
      </c>
      <c r="Z95">
        <v>1</v>
      </c>
      <c r="AA95">
        <v>0</v>
      </c>
      <c r="AB95" t="str">
        <f t="shared" si="7"/>
        <v>F</v>
      </c>
      <c r="AC95" t="str">
        <f t="shared" si="8"/>
        <v>Posti Letto
INSERIRE VALORE
INSERIRE VALORE</v>
      </c>
      <c r="AF95" s="11" t="str">
        <f t="shared" si="9"/>
        <v>Posti Letto
INSERIRE VALORE
INSERIRE VALORE</v>
      </c>
    </row>
    <row r="96" spans="1:32" ht="28.8">
      <c r="A96">
        <v>67</v>
      </c>
      <c r="B96" t="s">
        <v>145</v>
      </c>
      <c r="C96" s="11">
        <f t="shared" si="5"/>
        <v>96</v>
      </c>
      <c r="D96" s="11" t="s">
        <v>48</v>
      </c>
      <c r="E96" s="11" t="s">
        <v>44</v>
      </c>
      <c r="F96" s="11">
        <v>4</v>
      </c>
      <c r="G96" s="151" t="s">
        <v>249</v>
      </c>
      <c r="H96" s="38" t="s">
        <v>215</v>
      </c>
      <c r="I96" s="10" t="s">
        <v>37</v>
      </c>
      <c r="J96">
        <v>1</v>
      </c>
      <c r="K96">
        <v>1000</v>
      </c>
      <c r="L96">
        <v>0.1</v>
      </c>
      <c r="M96" s="37">
        <v>2</v>
      </c>
      <c r="N96" s="37">
        <v>100</v>
      </c>
      <c r="O96" s="38" t="s">
        <v>144</v>
      </c>
      <c r="S96">
        <f t="shared" si="6"/>
        <v>96</v>
      </c>
      <c r="Z96">
        <v>1</v>
      </c>
      <c r="AA96">
        <v>0</v>
      </c>
      <c r="AB96" t="str">
        <f t="shared" si="7"/>
        <v>F</v>
      </c>
      <c r="AC96" t="str">
        <f t="shared" si="8"/>
        <v>Persone
INSERIRE VALORE
INSERIRE VALORE</v>
      </c>
      <c r="AF96" s="11" t="str">
        <f t="shared" si="9"/>
        <v>Persone
INSERIRE VALORE
INSERIRE VALORE</v>
      </c>
    </row>
    <row r="97" spans="1:32" ht="28.8">
      <c r="A97">
        <v>68</v>
      </c>
      <c r="B97" t="s">
        <v>146</v>
      </c>
      <c r="C97" s="11">
        <f t="shared" si="5"/>
        <v>97</v>
      </c>
      <c r="D97" s="59" t="s">
        <v>147</v>
      </c>
      <c r="E97" s="11" t="s">
        <v>44</v>
      </c>
      <c r="F97" s="11">
        <v>6</v>
      </c>
      <c r="G97" s="59" t="s">
        <v>256</v>
      </c>
      <c r="H97">
        <v>7</v>
      </c>
      <c r="I97" s="59" t="s">
        <v>257</v>
      </c>
      <c r="J97">
        <v>8</v>
      </c>
      <c r="K97" s="11">
        <v>3000</v>
      </c>
      <c r="L97">
        <v>0.4</v>
      </c>
      <c r="O97" s="11" t="s">
        <v>148</v>
      </c>
      <c r="S97">
        <f t="shared" si="6"/>
        <v>97</v>
      </c>
      <c r="Z97">
        <v>0</v>
      </c>
      <c r="AA97">
        <v>0</v>
      </c>
      <c r="AB97">
        <f t="shared" si="7"/>
        <v>7</v>
      </c>
      <c r="AC97" t="str">
        <f t="shared" si="8"/>
        <v>Sup. area tipo B e F
INSERIRE VALORE</v>
      </c>
      <c r="AF97" s="11" t="str">
        <f t="shared" si="9"/>
        <v>Sup. area tipo B e F
INSERIRE VALORE</v>
      </c>
    </row>
    <row r="98" spans="1:32">
      <c r="A98">
        <v>69</v>
      </c>
      <c r="B98" t="s">
        <v>149</v>
      </c>
      <c r="C98" s="11">
        <f t="shared" si="5"/>
        <v>98</v>
      </c>
      <c r="D98" s="11" t="s">
        <v>48</v>
      </c>
      <c r="E98" s="11" t="s">
        <v>44</v>
      </c>
      <c r="F98" s="11">
        <v>6</v>
      </c>
      <c r="G98" s="10" t="s">
        <v>253</v>
      </c>
      <c r="H98" s="11">
        <v>0.8</v>
      </c>
      <c r="I98" s="10" t="s">
        <v>37</v>
      </c>
      <c r="J98">
        <v>1</v>
      </c>
      <c r="K98">
        <v>1000</v>
      </c>
      <c r="L98">
        <v>0.3</v>
      </c>
      <c r="S98">
        <f t="shared" si="6"/>
        <v>98</v>
      </c>
      <c r="Z98">
        <v>1</v>
      </c>
      <c r="AA98">
        <v>1</v>
      </c>
      <c r="AB98">
        <f t="shared" si="7"/>
        <v>0.8</v>
      </c>
      <c r="AC98" t="str">
        <f t="shared" si="8"/>
        <v>Vendita Ingrosso
INSERIRE VALORE
INSERIRE VALORE</v>
      </c>
      <c r="AF98" s="11" t="str">
        <f t="shared" si="9"/>
        <v>Vendita Ingrosso
INSERIRE VALORE
INSERIRE VALORE</v>
      </c>
    </row>
    <row r="99" spans="1:32">
      <c r="C99" s="11">
        <f t="shared" si="5"/>
        <v>99</v>
      </c>
      <c r="G99" s="10" t="s">
        <v>150</v>
      </c>
      <c r="H99" s="11">
        <v>1</v>
      </c>
      <c r="S99">
        <f t="shared" si="6"/>
        <v>99</v>
      </c>
      <c r="AA99">
        <v>0</v>
      </c>
      <c r="AB99">
        <f t="shared" si="7"/>
        <v>1</v>
      </c>
      <c r="AC99" t="str">
        <f t="shared" si="8"/>
        <v>Vendita Dettaglio</v>
      </c>
      <c r="AF99" s="11" t="str">
        <f t="shared" si="9"/>
        <v>Vendita Dettaglio</v>
      </c>
    </row>
    <row r="100" spans="1:32">
      <c r="A100">
        <v>70</v>
      </c>
      <c r="B100" t="s">
        <v>151</v>
      </c>
      <c r="C100" s="11">
        <f t="shared" si="5"/>
        <v>100</v>
      </c>
      <c r="D100" s="11" t="s">
        <v>48</v>
      </c>
      <c r="E100" s="11" t="s">
        <v>44</v>
      </c>
      <c r="F100" s="11">
        <v>4</v>
      </c>
      <c r="G100" s="11" t="s">
        <v>250</v>
      </c>
      <c r="H100" s="11" t="s">
        <v>215</v>
      </c>
      <c r="I100" s="10" t="s">
        <v>37</v>
      </c>
      <c r="J100">
        <v>1</v>
      </c>
      <c r="K100">
        <v>1000</v>
      </c>
      <c r="L100">
        <v>0.1</v>
      </c>
      <c r="M100">
        <v>2</v>
      </c>
      <c r="N100">
        <v>5</v>
      </c>
      <c r="O100" s="11" t="s">
        <v>97</v>
      </c>
      <c r="S100">
        <f t="shared" si="6"/>
        <v>100</v>
      </c>
      <c r="Z100">
        <v>1</v>
      </c>
      <c r="AA100">
        <v>0</v>
      </c>
      <c r="AB100" t="str">
        <f t="shared" si="7"/>
        <v>F</v>
      </c>
      <c r="AC100" t="str">
        <f t="shared" si="8"/>
        <v>massa [t]
INSERIRE VALORE
INSERIRE VALORE</v>
      </c>
      <c r="AF100" s="11" t="str">
        <f t="shared" si="9"/>
        <v>massa [t]
INSERIRE VALORE
INSERIRE VALORE</v>
      </c>
    </row>
    <row r="101" spans="1:32">
      <c r="A101">
        <v>71</v>
      </c>
      <c r="B101" t="s">
        <v>152</v>
      </c>
      <c r="C101" s="11">
        <f t="shared" si="5"/>
        <v>101</v>
      </c>
      <c r="D101" s="11" t="s">
        <v>48</v>
      </c>
      <c r="E101" s="11" t="s">
        <v>44</v>
      </c>
      <c r="F101" s="11">
        <v>6</v>
      </c>
      <c r="G101" s="11" t="s">
        <v>249</v>
      </c>
      <c r="H101" s="11" t="s">
        <v>215</v>
      </c>
      <c r="I101" s="10" t="s">
        <v>37</v>
      </c>
      <c r="J101">
        <v>1</v>
      </c>
      <c r="K101">
        <v>1000</v>
      </c>
      <c r="L101">
        <v>0.4</v>
      </c>
      <c r="M101">
        <v>3</v>
      </c>
      <c r="N101">
        <v>300</v>
      </c>
      <c r="O101" s="11" t="s">
        <v>153</v>
      </c>
      <c r="S101">
        <f t="shared" si="6"/>
        <v>101</v>
      </c>
      <c r="Z101">
        <v>1</v>
      </c>
      <c r="AA101">
        <v>0</v>
      </c>
      <c r="AB101" t="str">
        <f t="shared" si="7"/>
        <v>F</v>
      </c>
      <c r="AC101" t="str">
        <f t="shared" si="8"/>
        <v>Persone
INSERIRE VALORE
INSERIRE VALORE</v>
      </c>
      <c r="AF101" s="11" t="str">
        <f t="shared" si="9"/>
        <v>Persone
INSERIRE VALORE
INSERIRE VALORE</v>
      </c>
    </row>
    <row r="102" spans="1:32">
      <c r="A102">
        <v>72</v>
      </c>
      <c r="B102" t="s">
        <v>157</v>
      </c>
      <c r="C102" s="11">
        <f t="shared" si="5"/>
        <v>102</v>
      </c>
      <c r="D102" s="11" t="s">
        <v>48</v>
      </c>
      <c r="E102" s="11" t="s">
        <v>44</v>
      </c>
      <c r="F102" s="11">
        <v>8</v>
      </c>
      <c r="G102" s="10" t="s">
        <v>155</v>
      </c>
      <c r="H102" s="11">
        <v>1</v>
      </c>
      <c r="I102" s="10" t="s">
        <v>37</v>
      </c>
      <c r="J102">
        <v>1</v>
      </c>
      <c r="K102">
        <v>1000</v>
      </c>
      <c r="L102">
        <v>0.3</v>
      </c>
      <c r="O102" s="11" t="s">
        <v>160</v>
      </c>
      <c r="S102">
        <f t="shared" si="6"/>
        <v>102</v>
      </c>
      <c r="Z102">
        <v>0</v>
      </c>
      <c r="AA102">
        <v>0</v>
      </c>
      <c r="AB102">
        <f t="shared" si="7"/>
        <v>1</v>
      </c>
      <c r="AC102" t="str">
        <f t="shared" si="8"/>
        <v>Bibblioteche, museo e simili</v>
      </c>
      <c r="AF102" s="11" t="str">
        <f t="shared" si="9"/>
        <v>Bibblioteche, museo e simili</v>
      </c>
    </row>
    <row r="103" spans="1:32">
      <c r="C103" s="11">
        <f t="shared" si="5"/>
        <v>103</v>
      </c>
      <c r="G103" s="13" t="s">
        <v>156</v>
      </c>
      <c r="H103">
        <v>0.3</v>
      </c>
      <c r="S103">
        <f t="shared" si="6"/>
        <v>103</v>
      </c>
      <c r="Z103">
        <v>0</v>
      </c>
      <c r="AA103">
        <v>0</v>
      </c>
      <c r="AB103">
        <f t="shared" si="7"/>
        <v>0.3</v>
      </c>
      <c r="AC103" t="str">
        <f t="shared" si="8"/>
        <v>Altre attività soggette</v>
      </c>
      <c r="AF103" s="11" t="str">
        <f t="shared" si="9"/>
        <v>Altre attività soggette</v>
      </c>
    </row>
    <row r="104" spans="1:32">
      <c r="A104">
        <v>73</v>
      </c>
      <c r="B104" t="s">
        <v>154</v>
      </c>
      <c r="C104" s="11">
        <f t="shared" si="5"/>
        <v>104</v>
      </c>
      <c r="D104" s="11" t="s">
        <v>48</v>
      </c>
      <c r="E104" s="11" t="s">
        <v>44</v>
      </c>
      <c r="F104" s="11">
        <v>4</v>
      </c>
      <c r="G104" s="10" t="s">
        <v>158</v>
      </c>
      <c r="H104" s="11">
        <v>1</v>
      </c>
      <c r="I104" s="10" t="s">
        <v>37</v>
      </c>
      <c r="J104">
        <v>1</v>
      </c>
      <c r="K104">
        <v>1500</v>
      </c>
      <c r="L104">
        <v>0.1</v>
      </c>
      <c r="O104" s="11" t="s">
        <v>161</v>
      </c>
      <c r="S104">
        <f t="shared" si="6"/>
        <v>104</v>
      </c>
      <c r="Z104">
        <v>0</v>
      </c>
      <c r="AA104">
        <v>0</v>
      </c>
      <c r="AB104">
        <f t="shared" si="7"/>
        <v>1</v>
      </c>
      <c r="AC104" t="str">
        <f t="shared" si="8"/>
        <v>Attività interne non soggette</v>
      </c>
      <c r="AF104" s="11" t="str">
        <f t="shared" si="9"/>
        <v>Attività interne non soggette</v>
      </c>
    </row>
    <row r="105" spans="1:32">
      <c r="C105" s="11">
        <f t="shared" si="5"/>
        <v>105</v>
      </c>
      <c r="G105" s="10" t="s">
        <v>159</v>
      </c>
      <c r="H105">
        <v>0.2</v>
      </c>
      <c r="S105">
        <f t="shared" si="6"/>
        <v>105</v>
      </c>
      <c r="Z105">
        <v>0</v>
      </c>
      <c r="AA105">
        <v>0</v>
      </c>
      <c r="AB105">
        <f t="shared" si="7"/>
        <v>0.2</v>
      </c>
      <c r="AC105" t="str">
        <f t="shared" si="8"/>
        <v>Attività interne soggette</v>
      </c>
      <c r="AF105" s="11" t="str">
        <f t="shared" si="9"/>
        <v>Attività interne soggette</v>
      </c>
    </row>
    <row r="106" spans="1:32">
      <c r="A106">
        <v>74</v>
      </c>
      <c r="B106" t="s">
        <v>162</v>
      </c>
      <c r="C106" s="11">
        <f t="shared" si="5"/>
        <v>106</v>
      </c>
      <c r="D106" s="11" t="s">
        <v>116</v>
      </c>
      <c r="E106" s="11" t="s">
        <v>119</v>
      </c>
      <c r="F106" s="11">
        <v>4</v>
      </c>
      <c r="G106" s="10" t="s">
        <v>37</v>
      </c>
      <c r="H106" s="11">
        <v>1</v>
      </c>
      <c r="I106" s="10" t="s">
        <v>37</v>
      </c>
      <c r="J106">
        <v>1</v>
      </c>
      <c r="S106">
        <f t="shared" si="6"/>
        <v>106</v>
      </c>
      <c r="Z106">
        <v>0</v>
      </c>
      <c r="AA106">
        <v>0</v>
      </c>
      <c r="AB106">
        <f t="shared" si="7"/>
        <v>1</v>
      </c>
      <c r="AC106" t="str">
        <f t="shared" si="8"/>
        <v>Non Def.</v>
      </c>
      <c r="AF106" s="11" t="str">
        <f t="shared" si="9"/>
        <v>Non Def.</v>
      </c>
    </row>
    <row r="107" spans="1:32" ht="28.8">
      <c r="A107">
        <v>75</v>
      </c>
      <c r="B107" t="s">
        <v>163</v>
      </c>
      <c r="C107" s="11">
        <f t="shared" si="5"/>
        <v>107</v>
      </c>
      <c r="D107" s="11" t="s">
        <v>48</v>
      </c>
      <c r="E107" s="11" t="s">
        <v>44</v>
      </c>
      <c r="F107" s="11">
        <v>6</v>
      </c>
      <c r="G107" s="59" t="s">
        <v>255</v>
      </c>
      <c r="H107" s="11" t="s">
        <v>215</v>
      </c>
      <c r="I107" s="11" t="s">
        <v>164</v>
      </c>
      <c r="J107" s="11">
        <v>1</v>
      </c>
      <c r="K107" s="11">
        <v>1000</v>
      </c>
      <c r="L107" s="11">
        <v>0.4</v>
      </c>
      <c r="M107">
        <v>2</v>
      </c>
      <c r="N107">
        <v>0.8</v>
      </c>
      <c r="O107" s="11" t="s">
        <v>166</v>
      </c>
      <c r="S107">
        <f t="shared" si="6"/>
        <v>107</v>
      </c>
      <c r="Z107">
        <v>1</v>
      </c>
      <c r="AA107">
        <v>0</v>
      </c>
      <c r="AB107" t="str">
        <f t="shared" si="7"/>
        <v>F</v>
      </c>
      <c r="AC107" t="str">
        <f t="shared" si="8"/>
        <v>Num. di Piani Interrati
INSERIRE VALORE
INSERIRE VALORE</v>
      </c>
      <c r="AF107" s="11" t="str">
        <f t="shared" si="9"/>
        <v>Num. di Piani Interrati
INSERIRE VALORE
INSERIRE VALORE</v>
      </c>
    </row>
    <row r="108" spans="1:32">
      <c r="C108" s="11">
        <f t="shared" si="5"/>
        <v>108</v>
      </c>
      <c r="G108" s="11" t="s">
        <v>251</v>
      </c>
      <c r="H108" s="11">
        <v>0</v>
      </c>
      <c r="I108" s="11" t="s">
        <v>165</v>
      </c>
      <c r="J108" s="11">
        <v>0.6</v>
      </c>
      <c r="S108">
        <f t="shared" si="6"/>
        <v>108</v>
      </c>
      <c r="Z108">
        <v>1</v>
      </c>
      <c r="AA108">
        <v>0</v>
      </c>
      <c r="AB108">
        <f t="shared" si="7"/>
        <v>0</v>
      </c>
      <c r="AC108" t="str">
        <f t="shared" si="8"/>
        <v xml:space="preserve">
INSERIRE VALORE</v>
      </c>
      <c r="AF108" s="11" t="str">
        <f t="shared" si="9"/>
        <v/>
      </c>
    </row>
    <row r="109" spans="1:32">
      <c r="A109">
        <v>76</v>
      </c>
      <c r="B109" t="s">
        <v>167</v>
      </c>
      <c r="C109" s="11">
        <f t="shared" si="5"/>
        <v>109</v>
      </c>
      <c r="D109" s="11" t="s">
        <v>48</v>
      </c>
      <c r="E109" s="11" t="s">
        <v>44</v>
      </c>
      <c r="F109" s="11">
        <v>6</v>
      </c>
      <c r="G109" s="10" t="s">
        <v>37</v>
      </c>
      <c r="H109" s="11">
        <v>1</v>
      </c>
      <c r="I109" s="10" t="s">
        <v>37</v>
      </c>
      <c r="J109">
        <v>1</v>
      </c>
      <c r="K109">
        <v>1000</v>
      </c>
      <c r="L109">
        <v>0.1</v>
      </c>
      <c r="S109">
        <f t="shared" si="6"/>
        <v>109</v>
      </c>
      <c r="Z109">
        <v>0</v>
      </c>
      <c r="AA109">
        <v>0</v>
      </c>
      <c r="AB109">
        <f t="shared" si="7"/>
        <v>1</v>
      </c>
      <c r="AC109" t="str">
        <f t="shared" si="8"/>
        <v>Non Def.</v>
      </c>
      <c r="AF109" s="11" t="str">
        <f t="shared" si="9"/>
        <v>Non Def.</v>
      </c>
    </row>
    <row r="110" spans="1:32">
      <c r="A110">
        <v>77</v>
      </c>
      <c r="B110" t="s">
        <v>168</v>
      </c>
      <c r="C110" s="11">
        <f t="shared" si="5"/>
        <v>110</v>
      </c>
      <c r="D110" s="11" t="s">
        <v>169</v>
      </c>
      <c r="E110" s="11" t="s">
        <v>49</v>
      </c>
      <c r="F110" s="11">
        <v>6</v>
      </c>
      <c r="G110" s="11" t="s">
        <v>254</v>
      </c>
      <c r="H110" s="11" t="s">
        <v>215</v>
      </c>
      <c r="I110" s="10" t="s">
        <v>37</v>
      </c>
      <c r="J110">
        <v>1</v>
      </c>
      <c r="K110" s="11">
        <v>60</v>
      </c>
      <c r="L110" s="11">
        <v>0.3</v>
      </c>
      <c r="M110">
        <v>2</v>
      </c>
      <c r="N110">
        <v>1</v>
      </c>
      <c r="O110" s="11" t="s">
        <v>166</v>
      </c>
      <c r="S110">
        <f t="shared" si="6"/>
        <v>110</v>
      </c>
      <c r="Z110">
        <v>1</v>
      </c>
      <c r="AA110">
        <v>0</v>
      </c>
      <c r="AB110" t="str">
        <f t="shared" si="7"/>
        <v>F</v>
      </c>
      <c r="AC110" t="str">
        <f t="shared" si="8"/>
        <v>Numero Scale
INSERIRE VALORE
INSERIRE VALORE</v>
      </c>
      <c r="AF110" s="11" t="str">
        <f t="shared" si="9"/>
        <v>Numero Scale
INSERIRE VALORE
INSERIRE VALORE</v>
      </c>
    </row>
    <row r="111" spans="1:32">
      <c r="A111">
        <v>78</v>
      </c>
      <c r="B111" t="s">
        <v>170</v>
      </c>
      <c r="C111" s="11">
        <f t="shared" si="5"/>
        <v>111</v>
      </c>
      <c r="D111" s="11" t="s">
        <v>171</v>
      </c>
      <c r="E111" s="11" t="s">
        <v>44</v>
      </c>
      <c r="F111" s="11">
        <v>8</v>
      </c>
      <c r="G111" s="11" t="s">
        <v>173</v>
      </c>
      <c r="H111" s="11">
        <v>3</v>
      </c>
      <c r="I111" s="10" t="s">
        <v>37</v>
      </c>
      <c r="J111">
        <v>1</v>
      </c>
      <c r="K111" s="11">
        <v>5000</v>
      </c>
      <c r="L111" s="11">
        <v>0.4</v>
      </c>
      <c r="S111">
        <f t="shared" si="6"/>
        <v>111</v>
      </c>
      <c r="Z111">
        <v>0</v>
      </c>
      <c r="AA111">
        <v>0</v>
      </c>
      <c r="AB111">
        <f t="shared" si="7"/>
        <v>3</v>
      </c>
      <c r="AC111" t="str">
        <f t="shared" si="8"/>
        <v>Aerostazione</v>
      </c>
      <c r="AF111" s="11" t="str">
        <f t="shared" si="9"/>
        <v>Aerostazione</v>
      </c>
    </row>
    <row r="112" spans="1:32">
      <c r="C112" s="11">
        <f t="shared" si="5"/>
        <v>112</v>
      </c>
      <c r="D112" s="11" t="s">
        <v>172</v>
      </c>
      <c r="E112" s="11" t="s">
        <v>40</v>
      </c>
      <c r="F112" s="11">
        <v>40000</v>
      </c>
      <c r="G112" s="11" t="s">
        <v>174</v>
      </c>
      <c r="H112" s="11">
        <v>1</v>
      </c>
      <c r="S112">
        <f t="shared" si="6"/>
        <v>112</v>
      </c>
      <c r="Z112">
        <v>0</v>
      </c>
      <c r="AA112">
        <v>0</v>
      </c>
      <c r="AB112">
        <f t="shared" si="7"/>
        <v>1</v>
      </c>
      <c r="AC112" t="str">
        <f t="shared" si="8"/>
        <v>Stazione Ferroviaria</v>
      </c>
      <c r="AF112" s="11" t="str">
        <f t="shared" si="9"/>
        <v>Stazione Ferroviaria</v>
      </c>
    </row>
    <row r="113" spans="1:32">
      <c r="A113">
        <v>79</v>
      </c>
      <c r="B113" t="s">
        <v>175</v>
      </c>
      <c r="C113" s="11">
        <f t="shared" si="5"/>
        <v>113</v>
      </c>
      <c r="D113" s="11" t="s">
        <v>48</v>
      </c>
      <c r="E113" s="11" t="s">
        <v>44</v>
      </c>
      <c r="F113" s="11">
        <v>4</v>
      </c>
      <c r="G113" s="10" t="s">
        <v>37</v>
      </c>
      <c r="H113" s="11">
        <v>1</v>
      </c>
      <c r="I113" s="10" t="s">
        <v>37</v>
      </c>
      <c r="J113">
        <v>1</v>
      </c>
      <c r="K113">
        <v>50000</v>
      </c>
      <c r="L113">
        <v>0.1</v>
      </c>
      <c r="S113">
        <f t="shared" si="6"/>
        <v>113</v>
      </c>
      <c r="Z113">
        <v>0</v>
      </c>
      <c r="AA113">
        <v>0</v>
      </c>
      <c r="AB113">
        <f t="shared" si="7"/>
        <v>1</v>
      </c>
      <c r="AC113" t="str">
        <f t="shared" si="8"/>
        <v>Non Def.</v>
      </c>
      <c r="AF113" s="11" t="str">
        <f t="shared" si="9"/>
        <v>Non Def.</v>
      </c>
    </row>
    <row r="114" spans="1:32">
      <c r="A114">
        <v>80</v>
      </c>
      <c r="B114" t="s">
        <v>176</v>
      </c>
      <c r="C114" s="11">
        <f t="shared" si="5"/>
        <v>114</v>
      </c>
      <c r="D114" s="11" t="s">
        <v>177</v>
      </c>
      <c r="E114" s="11" t="s">
        <v>49</v>
      </c>
      <c r="F114" s="11">
        <v>100</v>
      </c>
      <c r="G114" s="11" t="s">
        <v>178</v>
      </c>
      <c r="H114" s="11">
        <v>3</v>
      </c>
      <c r="I114" s="10" t="s">
        <v>37</v>
      </c>
      <c r="J114">
        <v>1</v>
      </c>
      <c r="S114">
        <f>+C114</f>
        <v>114</v>
      </c>
      <c r="Z114">
        <v>0</v>
      </c>
      <c r="AA114">
        <v>0</v>
      </c>
      <c r="AB114">
        <f t="shared" si="7"/>
        <v>3</v>
      </c>
      <c r="AC114" t="str">
        <f t="shared" si="8"/>
        <v>Autostradale</v>
      </c>
      <c r="AF114" s="11" t="str">
        <f t="shared" si="9"/>
        <v>Autostradale</v>
      </c>
    </row>
    <row r="115" spans="1:32">
      <c r="C115" s="11">
        <f t="shared" si="5"/>
        <v>115</v>
      </c>
      <c r="F115" s="11"/>
      <c r="G115" s="11" t="s">
        <v>179</v>
      </c>
      <c r="H115" s="11">
        <v>1</v>
      </c>
      <c r="S115">
        <f>+C115</f>
        <v>115</v>
      </c>
      <c r="Z115">
        <v>0</v>
      </c>
      <c r="AA115">
        <v>0</v>
      </c>
      <c r="AB115">
        <f t="shared" si="7"/>
        <v>1</v>
      </c>
      <c r="AC115" t="str">
        <f t="shared" si="8"/>
        <v>Ferroviaria</v>
      </c>
      <c r="AF115" s="11" t="str">
        <f t="shared" si="9"/>
        <v>Ferroviaria</v>
      </c>
    </row>
    <row r="116" spans="1:32">
      <c r="A116">
        <v>81</v>
      </c>
      <c r="C116" s="11">
        <f t="shared" si="5"/>
        <v>116</v>
      </c>
      <c r="F116" s="11"/>
    </row>
  </sheetData>
  <dataValidations disablePrompts="1" count="2">
    <dataValidation type="list" allowBlank="1" showErrorMessage="1" sqref="X2:X5">
      <formula1>$AE$2:$AG$2</formula1>
    </dataValidation>
    <dataValidation type="list" allowBlank="1" showErrorMessage="1" sqref="W2:W5">
      <formula1>$AE$2:$AF$2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T33"/>
  <sheetViews>
    <sheetView workbookViewId="0"/>
  </sheetViews>
  <sheetFormatPr defaultRowHeight="14.4"/>
  <cols>
    <col min="3" max="3" width="55.44140625" customWidth="1"/>
    <col min="4" max="4" width="16.44140625" customWidth="1"/>
    <col min="5" max="5" width="10.33203125" style="7" customWidth="1"/>
    <col min="6" max="6" width="16.6640625" bestFit="1" customWidth="1"/>
    <col min="7" max="7" width="19.109375" customWidth="1"/>
    <col min="8" max="8" width="10.5546875" customWidth="1"/>
    <col min="9" max="9" width="18.109375" customWidth="1"/>
    <col min="10" max="10" width="10.6640625" customWidth="1"/>
    <col min="11" max="11" width="11.6640625" bestFit="1" customWidth="1"/>
    <col min="12" max="12" width="10.6640625" customWidth="1"/>
    <col min="13" max="13" width="10" bestFit="1" customWidth="1"/>
    <col min="17" max="25" width="0" hidden="1" customWidth="1"/>
    <col min="29" max="29" width="20.33203125" customWidth="1"/>
    <col min="30" max="30" width="9.6640625" bestFit="1" customWidth="1"/>
  </cols>
  <sheetData>
    <row r="1" spans="1:46">
      <c r="F1" s="256" t="s">
        <v>198</v>
      </c>
      <c r="G1" s="256"/>
      <c r="H1" s="256"/>
      <c r="I1" s="256"/>
      <c r="J1" s="256"/>
      <c r="K1" s="42"/>
      <c r="L1" s="42"/>
    </row>
    <row r="2" spans="1:46">
      <c r="A2" t="s">
        <v>218</v>
      </c>
      <c r="B2" s="1" t="s">
        <v>10</v>
      </c>
      <c r="C2" s="1" t="s">
        <v>3</v>
      </c>
      <c r="D2" s="1" t="s">
        <v>12</v>
      </c>
      <c r="E2" s="25" t="s">
        <v>14</v>
      </c>
      <c r="F2" s="1" t="s">
        <v>199</v>
      </c>
      <c r="G2" s="1" t="s">
        <v>200</v>
      </c>
      <c r="H2" s="1" t="s">
        <v>202</v>
      </c>
      <c r="I2" s="1" t="s">
        <v>201</v>
      </c>
      <c r="J2" s="1" t="s">
        <v>202</v>
      </c>
      <c r="K2" s="1" t="s">
        <v>221</v>
      </c>
      <c r="L2" s="1" t="s">
        <v>222</v>
      </c>
      <c r="M2" s="1" t="s">
        <v>27</v>
      </c>
      <c r="AA2" s="1" t="s">
        <v>17</v>
      </c>
      <c r="AB2" s="1" t="s">
        <v>18</v>
      </c>
      <c r="AC2" s="1" t="s">
        <v>19</v>
      </c>
      <c r="AD2" s="1" t="s">
        <v>22</v>
      </c>
      <c r="AE2" s="1" t="s">
        <v>23</v>
      </c>
      <c r="AF2" s="1" t="s">
        <v>24</v>
      </c>
      <c r="AG2" s="1" t="s">
        <v>25</v>
      </c>
      <c r="AH2" s="1" t="s">
        <v>26</v>
      </c>
      <c r="AI2" s="3" t="s">
        <v>31</v>
      </c>
      <c r="AJ2" s="3" t="s">
        <v>32</v>
      </c>
      <c r="AK2" s="3" t="s">
        <v>79</v>
      </c>
      <c r="AL2" s="3" t="s">
        <v>80</v>
      </c>
      <c r="AM2" s="3" t="s">
        <v>195</v>
      </c>
      <c r="AN2" s="3" t="s">
        <v>194</v>
      </c>
      <c r="AQ2" s="43" t="s">
        <v>220</v>
      </c>
      <c r="AR2" s="43" t="s">
        <v>191</v>
      </c>
    </row>
    <row r="3" spans="1:46" s="4" customFormat="1" ht="55.5" customHeight="1">
      <c r="A3" s="44">
        <v>1</v>
      </c>
      <c r="B3" s="28">
        <v>12</v>
      </c>
      <c r="C3" s="16" t="str">
        <f t="shared" ref="C3:C8" si="0">+VLOOKUP($B3,TabAtt,2,FALSE)</f>
        <v>Depositi e/o rivendite di liquidi infiammabili e/o combustibili e/o oli lubrificanti, diatermici, di qualsiasi derivazione, di capacità geometrica complessiva superiore a 1 m3</v>
      </c>
      <c r="D3" s="20" t="s">
        <v>54</v>
      </c>
      <c r="E3" s="17" t="str">
        <f t="shared" ref="E3:E8" ca="1" si="1">+VLOOKUP(D3,INDIRECT(ADDRESS(AA3,4,1,,"PARAMETRI ATTIVITA") &amp; ":" &amp; +ADDRESS(AA3+5,12,1,,)),2,FALSE)</f>
        <v>m³</v>
      </c>
      <c r="F3" s="46">
        <v>3000</v>
      </c>
      <c r="G3" s="20" t="s">
        <v>5</v>
      </c>
      <c r="H3" s="47">
        <v>500</v>
      </c>
      <c r="I3" s="20" t="s">
        <v>56</v>
      </c>
      <c r="J3" s="28">
        <v>0</v>
      </c>
      <c r="K3" s="50" t="s">
        <v>223</v>
      </c>
      <c r="L3" s="51" t="s">
        <v>186</v>
      </c>
      <c r="M3" s="22">
        <f ca="1">IFERROR(IF(AI3=0,+SQRT(AM3*AD3)*AF3*AH3,IF(AM3-AI3&lt;0,+SQRT((AM3+AN3)*AD3)*AF3*AH3,SQRT((AI3+AN3+(AM3-AI3)*AJ3)*AD3))*AF3*AH3),0)*PRODUCT(AQ3:AR3)</f>
        <v>362.80159867343474</v>
      </c>
      <c r="AA3" s="5">
        <f t="shared" ref="AA3:AA8" si="2">+VLOOKUP($B3,TabAtt,3,FALSE)</f>
        <v>20</v>
      </c>
      <c r="AB3" s="5">
        <f t="shared" ref="AB3:AB8" si="3">+VLOOKUP($B3+1,TabAtt,3,FALSE)-AA3</f>
        <v>2</v>
      </c>
      <c r="AC3" s="5" t="str">
        <f t="shared" ref="AC3:AC8" si="4">+ADDRESS(AA3,4,1,,"PARAMETRI ATTIVITA")</f>
        <v>'PARAMETRI ATTIVITA'!$D$20</v>
      </c>
      <c r="AD3" s="6">
        <f t="shared" ref="AD3:AD8" ca="1" si="5">+VLOOKUP(D3,INDIRECT(ADDRESS(AA3,4,1,,"PARAMETRI ATTIVITA") &amp; ":" &amp; +ADDRESS(AA3+5,12,1,,)),3,FALSE)</f>
        <v>150</v>
      </c>
      <c r="AE3" s="5" t="str">
        <f t="shared" ref="AE3:AE8" si="6">+ADDRESS(AA3,7,1,,"PARAMETRI ATTIVITA")</f>
        <v>'PARAMETRI ATTIVITA'!$G$20</v>
      </c>
      <c r="AF3" s="5">
        <f t="shared" ref="AF3:AF8" ca="1" si="7">+IF(AP3="F",IF((H3*AK3-AL3)/H3&lt;0,1,(H3*AK3-AL3)/H3),AP3)</f>
        <v>1.5</v>
      </c>
      <c r="AG3" s="5" t="str">
        <f t="shared" ref="AG3:AG8" si="8">+ADDRESS(AA3,9,1,,"PARAMETRI ATTIVITA")</f>
        <v>'PARAMETRI ATTIVITA'!$I$20</v>
      </c>
      <c r="AH3" s="5">
        <f t="shared" ref="AH3:AH8" ca="1" si="9">++IF(B3=68,1,VLOOKUP(I3,INDIRECT(ADDRESS(AA3,9,1,,"PARAMETRI ATTIVITA") &amp; ":" &amp; +ADDRESS(AA3+5,108,1,,)),2,FALSE))</f>
        <v>1</v>
      </c>
      <c r="AI3" s="4">
        <f t="shared" ref="AI3:AI8" ca="1" si="10">+VLOOKUP(D3,INDIRECT(ADDRESS(AA3,4,1,,"PARAMETRI ATTIVITA") &amp; ":" &amp; +ADDRESS(AA3+5,12,1,,)),8,FALSE)</f>
        <v>100</v>
      </c>
      <c r="AJ3" s="4">
        <f t="shared" ref="AJ3:AJ8" ca="1" si="11">+VLOOKUP(D3,INDIRECT(ADDRESS(AA3,4,1,,"PARAMETRI ATTIVITA") &amp; ":" &amp; +ADDRESS(AA3+5,12,1,,)),9,FALSE)</f>
        <v>0.1</v>
      </c>
      <c r="AK3" s="4">
        <f t="shared" ref="AK3:AK8" si="12">+IF(ISERROR(VLOOKUP($B3,TabAtt,13,FALSE))=FALSE,VLOOKUP($B3,TabAtt,13,FALSE),1)</f>
        <v>0</v>
      </c>
      <c r="AL3" s="4">
        <f t="shared" ref="AL3:AL8" si="13">+IF(ISERROR(VLOOKUP($B3,TabAtt,14,FALSE))=FALSE,VLOOKUP($B3,TabAtt,14,FALSE),1)</f>
        <v>0</v>
      </c>
      <c r="AM3" s="4">
        <f t="shared" ref="AM3:AM8" si="14">+F3</f>
        <v>3000</v>
      </c>
      <c r="AN3" s="4">
        <f t="shared" ref="AN3:AN8" ca="1" si="15">+IF(B3=68,H3*VLOOKUP(G3,INDIRECT(ADDRESS(AA3,7,1,,"PARAMETRI ATTIVITA") &amp; ":" &amp; +ADDRESS(AA3+5,8,1,,)),2,FALSE)+J3*VLOOKUP(I3,INDIRECT(ADDRESS(AA3,9,1,,"PARAMETRI ATTIVITA") &amp; ":" &amp; +ADDRESS(AA3+5,108,1,,)),2,FALSE),0)</f>
        <v>0</v>
      </c>
      <c r="AP3" s="4">
        <f ca="1">+IF(B3=68,1,VLOOKUP(G3,INDIRECT(ADDRESS(AA3,7,1,,"PARAMETRI ATTIVITA") &amp; ":" &amp; +ADDRESS(AA3+5,8,1,,)),2,FALSE))</f>
        <v>1.5</v>
      </c>
      <c r="AQ3" s="1">
        <f>+VLOOKUP(K3,$AC$17:$AD$19,2,FALSE)</f>
        <v>1</v>
      </c>
      <c r="AR3" s="1">
        <f>+VLOOKUP(L3,$AE$17:$AH$18,2,FALSE)</f>
        <v>1</v>
      </c>
      <c r="AS3" s="1" t="e">
        <f>+VLOOKUP(T3,$AE$17:$AH$18,3,FALSE)</f>
        <v>#N/A</v>
      </c>
      <c r="AT3" s="1" t="e">
        <f>+VLOOKUP(U3,$AE$17:$AH$18,4,FALSE)</f>
        <v>#N/A</v>
      </c>
    </row>
    <row r="4" spans="1:46" s="4" customFormat="1" ht="52.2" customHeight="1">
      <c r="A4" s="44">
        <f>+IF(B4="","",A3+1)</f>
        <v>2</v>
      </c>
      <c r="B4" s="28">
        <v>73</v>
      </c>
      <c r="C4" s="16" t="str">
        <f t="shared" si="0"/>
        <v>Edifici e/o complessi edilizi a uso terziario e/o industriale caratterizzati da promiscuità strutturale e/o dei sistemi delle vie di esodo e/o impiantistica con presenza di persone superiore a 300 unità, ovvero di superficie complessiva superiore a 5000 m2, indipendentemente dal numero di attività costituenti e dalla relativa diversa titolarità</v>
      </c>
      <c r="D4" s="20" t="s">
        <v>48</v>
      </c>
      <c r="E4" s="17" t="str">
        <f t="shared" ca="1" si="1"/>
        <v>m²</v>
      </c>
      <c r="F4" s="46">
        <v>1000</v>
      </c>
      <c r="G4" s="20" t="s">
        <v>159</v>
      </c>
      <c r="H4" s="47">
        <v>50</v>
      </c>
      <c r="I4" s="20" t="s">
        <v>37</v>
      </c>
      <c r="J4" s="28">
        <v>0</v>
      </c>
      <c r="K4" s="50" t="s">
        <v>182</v>
      </c>
      <c r="L4" s="51" t="s">
        <v>186</v>
      </c>
      <c r="M4" s="22">
        <f t="shared" ref="M4:M8" ca="1" si="16">IFERROR(IF(AI4=0,+SQRT(AM4*AD4)*AF4*AH4,IF(AM4-AI4&lt;0,+SQRT((AM4+AN4)*AD4)*AF4*AH4,SQRT((AI4+AN4+(AM4-AI4)*AJ4)*AD4))*AF4*AH4),0)*PRODUCT(AQ4:AR4)</f>
        <v>3.0357865537616449</v>
      </c>
      <c r="AA4" s="5">
        <f t="shared" si="2"/>
        <v>104</v>
      </c>
      <c r="AB4" s="5">
        <f t="shared" si="3"/>
        <v>2</v>
      </c>
      <c r="AC4" s="5" t="str">
        <f t="shared" si="4"/>
        <v>'PARAMETRI ATTIVITA'!$D$104</v>
      </c>
      <c r="AD4" s="6">
        <f t="shared" ca="1" si="5"/>
        <v>4</v>
      </c>
      <c r="AE4" s="5" t="str">
        <f t="shared" si="6"/>
        <v>'PARAMETRI ATTIVITA'!$G$104</v>
      </c>
      <c r="AF4" s="5">
        <f t="shared" ca="1" si="7"/>
        <v>0.2</v>
      </c>
      <c r="AG4" s="5" t="str">
        <f t="shared" si="8"/>
        <v>'PARAMETRI ATTIVITA'!$I$104</v>
      </c>
      <c r="AH4" s="5">
        <f t="shared" ca="1" si="9"/>
        <v>1</v>
      </c>
      <c r="AI4" s="4">
        <f t="shared" ca="1" si="10"/>
        <v>1500</v>
      </c>
      <c r="AJ4" s="4">
        <f t="shared" ca="1" si="11"/>
        <v>0.1</v>
      </c>
      <c r="AK4" s="4">
        <f t="shared" si="12"/>
        <v>0</v>
      </c>
      <c r="AL4" s="4">
        <f t="shared" si="13"/>
        <v>0</v>
      </c>
      <c r="AM4" s="4">
        <f t="shared" si="14"/>
        <v>1000</v>
      </c>
      <c r="AN4" s="4">
        <f t="shared" ca="1" si="15"/>
        <v>0</v>
      </c>
      <c r="AP4" s="4">
        <f t="shared" ref="AP4:AP5" ca="1" si="17">+IF(B4=68,1,VLOOKUP(G4,INDIRECT(ADDRESS(AA4,7,1,,"PARAMETRI ATTIVITA") &amp; ":" &amp; +ADDRESS(AA4+5,8,1,,)),2,FALSE))</f>
        <v>0.2</v>
      </c>
      <c r="AQ4" s="1">
        <f t="shared" ref="AQ4:AQ8" si="18">+VLOOKUP(K4,$AC$17:$AD$19,2,FALSE)</f>
        <v>1.2</v>
      </c>
      <c r="AR4" s="1">
        <f t="shared" ref="AR4:AR8" si="19">+VLOOKUP(L4,$AE$17:$AH$18,2,FALSE)</f>
        <v>1</v>
      </c>
    </row>
    <row r="5" spans="1:46" s="4" customFormat="1" ht="46.5" customHeight="1">
      <c r="A5" s="44">
        <f t="shared" ref="A5:A8" si="20">+IF(B5="","",A4+1)</f>
        <v>3</v>
      </c>
      <c r="B5" s="28">
        <v>70</v>
      </c>
      <c r="C5" s="16" t="str">
        <f t="shared" si="0"/>
        <v>Locali adibiti a depositi di superficie lorda superiore a 1000 m2 con quantitativi di merci e materiali combustibili superiori complessivamente a 5000 kg</v>
      </c>
      <c r="D5" s="20" t="s">
        <v>54</v>
      </c>
      <c r="E5" s="17" t="e">
        <f t="shared" ca="1" si="1"/>
        <v>#N/A</v>
      </c>
      <c r="F5" s="46">
        <v>3000</v>
      </c>
      <c r="G5" s="20" t="s">
        <v>33</v>
      </c>
      <c r="H5" s="47">
        <v>100</v>
      </c>
      <c r="I5" s="20" t="s">
        <v>9</v>
      </c>
      <c r="J5" s="28">
        <v>0</v>
      </c>
      <c r="K5" s="50" t="s">
        <v>182</v>
      </c>
      <c r="L5" s="51" t="s">
        <v>186</v>
      </c>
      <c r="M5" s="22">
        <f t="shared" ca="1" si="16"/>
        <v>0</v>
      </c>
      <c r="AA5" s="5">
        <f t="shared" si="2"/>
        <v>100</v>
      </c>
      <c r="AB5" s="5">
        <f t="shared" si="3"/>
        <v>1</v>
      </c>
      <c r="AC5" s="5" t="str">
        <f t="shared" si="4"/>
        <v>'PARAMETRI ATTIVITA'!$D$100</v>
      </c>
      <c r="AD5" s="6" t="e">
        <f t="shared" ca="1" si="5"/>
        <v>#N/A</v>
      </c>
      <c r="AE5" s="5" t="str">
        <f t="shared" si="6"/>
        <v>'PARAMETRI ATTIVITA'!$G$100</v>
      </c>
      <c r="AF5" s="5" t="e">
        <f t="shared" ca="1" si="7"/>
        <v>#N/A</v>
      </c>
      <c r="AG5" s="5" t="str">
        <f t="shared" si="8"/>
        <v>'PARAMETRI ATTIVITA'!$I$100</v>
      </c>
      <c r="AH5" s="5" t="e">
        <f t="shared" ca="1" si="9"/>
        <v>#N/A</v>
      </c>
      <c r="AI5" s="4" t="e">
        <f t="shared" ca="1" si="10"/>
        <v>#N/A</v>
      </c>
      <c r="AJ5" s="4" t="e">
        <f t="shared" ca="1" si="11"/>
        <v>#N/A</v>
      </c>
      <c r="AK5" s="4">
        <f t="shared" si="12"/>
        <v>2</v>
      </c>
      <c r="AL5" s="4">
        <f t="shared" si="13"/>
        <v>5</v>
      </c>
      <c r="AM5" s="4">
        <f t="shared" si="14"/>
        <v>3000</v>
      </c>
      <c r="AN5" s="4">
        <f t="shared" ca="1" si="15"/>
        <v>0</v>
      </c>
      <c r="AP5" s="4" t="e">
        <f t="shared" ca="1" si="17"/>
        <v>#N/A</v>
      </c>
      <c r="AQ5" s="1">
        <f t="shared" si="18"/>
        <v>1.2</v>
      </c>
      <c r="AR5" s="1">
        <f t="shared" si="19"/>
        <v>1</v>
      </c>
    </row>
    <row r="6" spans="1:46" s="4" customFormat="1" ht="46.5" customHeight="1">
      <c r="A6" s="44">
        <f t="shared" si="20"/>
        <v>4</v>
      </c>
      <c r="B6" s="28">
        <v>10</v>
      </c>
      <c r="C6" s="16" t="str">
        <f t="shared" si="0"/>
        <v>Stabilimenti ed impianti ove si producono e/o impiegano, liquidi infiammabili e/o combustibili con punto di infiammabilità fino a 125 °C, con quantitativi globali in ciclo e/o in deposito superiori a 1 m3</v>
      </c>
      <c r="D6" s="20" t="s">
        <v>54</v>
      </c>
      <c r="E6" s="17" t="str">
        <f t="shared" ca="1" si="1"/>
        <v>m³</v>
      </c>
      <c r="F6" s="46">
        <v>300</v>
      </c>
      <c r="G6" s="20" t="s">
        <v>5</v>
      </c>
      <c r="H6" s="47">
        <v>100</v>
      </c>
      <c r="I6" s="20" t="s">
        <v>56</v>
      </c>
      <c r="J6" s="28">
        <v>0</v>
      </c>
      <c r="K6" s="50" t="s">
        <v>223</v>
      </c>
      <c r="L6" s="51" t="s">
        <v>186</v>
      </c>
      <c r="M6" s="22">
        <f t="shared" ca="1" si="16"/>
        <v>268.32815729997475</v>
      </c>
      <c r="AA6" s="5">
        <f t="shared" si="2"/>
        <v>16</v>
      </c>
      <c r="AB6" s="5">
        <f t="shared" si="3"/>
        <v>2</v>
      </c>
      <c r="AC6" s="5" t="str">
        <f t="shared" si="4"/>
        <v>'PARAMETRI ATTIVITA'!$D$16</v>
      </c>
      <c r="AD6" s="6">
        <f t="shared" ca="1" si="5"/>
        <v>150</v>
      </c>
      <c r="AE6" s="5" t="str">
        <f t="shared" si="6"/>
        <v>'PARAMETRI ATTIVITA'!$G$16</v>
      </c>
      <c r="AF6" s="5">
        <f t="shared" ca="1" si="7"/>
        <v>2</v>
      </c>
      <c r="AG6" s="5" t="str">
        <f t="shared" si="8"/>
        <v>'PARAMETRI ATTIVITA'!$I$16</v>
      </c>
      <c r="AH6" s="5">
        <f t="shared" ca="1" si="9"/>
        <v>1</v>
      </c>
      <c r="AI6" s="4">
        <f t="shared" ca="1" si="10"/>
        <v>100</v>
      </c>
      <c r="AJ6" s="4">
        <f t="shared" ca="1" si="11"/>
        <v>0.1</v>
      </c>
      <c r="AK6" s="4">
        <f t="shared" si="12"/>
        <v>0</v>
      </c>
      <c r="AL6" s="4">
        <f t="shared" si="13"/>
        <v>0</v>
      </c>
      <c r="AM6" s="4">
        <f t="shared" si="14"/>
        <v>300</v>
      </c>
      <c r="AN6" s="4">
        <f t="shared" ca="1" si="15"/>
        <v>0</v>
      </c>
      <c r="AP6" s="4">
        <f t="shared" ref="AP6" ca="1" si="21">+IF(B6=68,1,VLOOKUP(G6,INDIRECT(ADDRESS(AA6,7,1,,"PARAMETRI ATTIVITA") &amp; ":" &amp; +ADDRESS(AA6+5,8,1,,)),2,FALSE))</f>
        <v>2</v>
      </c>
      <c r="AQ6" s="1">
        <f t="shared" si="18"/>
        <v>1</v>
      </c>
      <c r="AR6" s="1">
        <f t="shared" si="19"/>
        <v>1</v>
      </c>
    </row>
    <row r="7" spans="1:46" s="4" customFormat="1" ht="46.5" customHeight="1">
      <c r="A7" s="44" t="str">
        <f t="shared" si="20"/>
        <v/>
      </c>
      <c r="B7" s="28"/>
      <c r="C7" s="16" t="e">
        <f t="shared" si="0"/>
        <v>#N/A</v>
      </c>
      <c r="D7" s="20" t="s">
        <v>48</v>
      </c>
      <c r="E7" s="17" t="e">
        <f t="shared" ca="1" si="1"/>
        <v>#N/A</v>
      </c>
      <c r="F7" s="46">
        <v>300</v>
      </c>
      <c r="G7" s="20" t="s">
        <v>142</v>
      </c>
      <c r="H7" s="47">
        <v>100</v>
      </c>
      <c r="I7" s="20" t="s">
        <v>37</v>
      </c>
      <c r="J7" s="28">
        <v>0</v>
      </c>
      <c r="K7" s="50" t="s">
        <v>182</v>
      </c>
      <c r="L7" s="51" t="s">
        <v>186</v>
      </c>
      <c r="M7" s="22">
        <f t="shared" ca="1" si="16"/>
        <v>0</v>
      </c>
      <c r="AA7" s="5" t="e">
        <f t="shared" si="2"/>
        <v>#N/A</v>
      </c>
      <c r="AB7" s="5" t="e">
        <f t="shared" si="3"/>
        <v>#N/A</v>
      </c>
      <c r="AC7" s="5" t="e">
        <f t="shared" si="4"/>
        <v>#N/A</v>
      </c>
      <c r="AD7" s="6" t="e">
        <f t="shared" ca="1" si="5"/>
        <v>#N/A</v>
      </c>
      <c r="AE7" s="5" t="e">
        <f t="shared" si="6"/>
        <v>#N/A</v>
      </c>
      <c r="AF7" s="5" t="e">
        <f t="shared" ca="1" si="7"/>
        <v>#N/A</v>
      </c>
      <c r="AG7" s="5" t="e">
        <f t="shared" si="8"/>
        <v>#N/A</v>
      </c>
      <c r="AH7" s="5" t="e">
        <f t="shared" ca="1" si="9"/>
        <v>#N/A</v>
      </c>
      <c r="AI7" s="4" t="e">
        <f t="shared" ca="1" si="10"/>
        <v>#N/A</v>
      </c>
      <c r="AJ7" s="4" t="e">
        <f t="shared" ca="1" si="11"/>
        <v>#N/A</v>
      </c>
      <c r="AK7" s="4">
        <f t="shared" si="12"/>
        <v>1</v>
      </c>
      <c r="AL7" s="4">
        <f t="shared" si="13"/>
        <v>1</v>
      </c>
      <c r="AM7" s="4">
        <f t="shared" si="14"/>
        <v>300</v>
      </c>
      <c r="AN7" s="4">
        <f t="shared" ca="1" si="15"/>
        <v>0</v>
      </c>
      <c r="AP7" s="4" t="e">
        <f t="shared" ref="AP7" ca="1" si="22">+IF(B7=68,1,VLOOKUP(G7,INDIRECT(ADDRESS(AA7,7,1,,"PARAMETRI ATTIVITA") &amp; ":" &amp; +ADDRESS(AA7+5,8,1,,)),2,FALSE))</f>
        <v>#N/A</v>
      </c>
      <c r="AQ7" s="1">
        <f t="shared" si="18"/>
        <v>1.2</v>
      </c>
      <c r="AR7" s="1">
        <f t="shared" si="19"/>
        <v>1</v>
      </c>
    </row>
    <row r="8" spans="1:46" s="4" customFormat="1" ht="46.5" customHeight="1">
      <c r="A8" s="44" t="str">
        <f t="shared" si="20"/>
        <v/>
      </c>
      <c r="B8" s="28"/>
      <c r="C8" s="16" t="e">
        <f t="shared" si="0"/>
        <v>#N/A</v>
      </c>
      <c r="D8" s="20" t="s">
        <v>48</v>
      </c>
      <c r="E8" s="17" t="e">
        <f t="shared" ca="1" si="1"/>
        <v>#N/A</v>
      </c>
      <c r="F8" s="46">
        <v>300</v>
      </c>
      <c r="G8" s="20" t="s">
        <v>5</v>
      </c>
      <c r="H8" s="47">
        <v>100</v>
      </c>
      <c r="I8" s="20" t="s">
        <v>57</v>
      </c>
      <c r="J8" s="28">
        <v>0</v>
      </c>
      <c r="K8" s="50" t="s">
        <v>182</v>
      </c>
      <c r="L8" s="51" t="s">
        <v>186</v>
      </c>
      <c r="M8" s="22">
        <f t="shared" ca="1" si="16"/>
        <v>0</v>
      </c>
      <c r="AA8" s="5" t="e">
        <f t="shared" si="2"/>
        <v>#N/A</v>
      </c>
      <c r="AB8" s="5" t="e">
        <f t="shared" si="3"/>
        <v>#N/A</v>
      </c>
      <c r="AC8" s="5" t="e">
        <f t="shared" si="4"/>
        <v>#N/A</v>
      </c>
      <c r="AD8" s="6" t="e">
        <f t="shared" ca="1" si="5"/>
        <v>#N/A</v>
      </c>
      <c r="AE8" s="5" t="e">
        <f t="shared" si="6"/>
        <v>#N/A</v>
      </c>
      <c r="AF8" s="5" t="e">
        <f t="shared" ca="1" si="7"/>
        <v>#N/A</v>
      </c>
      <c r="AG8" s="5" t="e">
        <f t="shared" si="8"/>
        <v>#N/A</v>
      </c>
      <c r="AH8" s="5" t="e">
        <f t="shared" ca="1" si="9"/>
        <v>#N/A</v>
      </c>
      <c r="AI8" s="4" t="e">
        <f t="shared" ca="1" si="10"/>
        <v>#N/A</v>
      </c>
      <c r="AJ8" s="4" t="e">
        <f t="shared" ca="1" si="11"/>
        <v>#N/A</v>
      </c>
      <c r="AK8" s="4">
        <f t="shared" si="12"/>
        <v>1</v>
      </c>
      <c r="AL8" s="4">
        <f t="shared" si="13"/>
        <v>1</v>
      </c>
      <c r="AM8" s="4">
        <f t="shared" si="14"/>
        <v>300</v>
      </c>
      <c r="AN8" s="4">
        <f t="shared" ca="1" si="15"/>
        <v>0</v>
      </c>
      <c r="AP8" s="4" t="e">
        <f t="shared" ref="AP8" ca="1" si="23">+IF(B8=68,1,VLOOKUP(G8,INDIRECT(ADDRESS(AA8,7,1,,"PARAMETRI ATTIVITA") &amp; ":" &amp; +ADDRESS(AA8+5,8,1,,)),2,FALSE))</f>
        <v>#N/A</v>
      </c>
      <c r="AQ8" s="1">
        <f t="shared" si="18"/>
        <v>1.2</v>
      </c>
      <c r="AR8" s="1">
        <f t="shared" si="19"/>
        <v>1</v>
      </c>
    </row>
    <row r="9" spans="1:46" ht="23.4">
      <c r="E9" s="12"/>
      <c r="G9" s="15"/>
      <c r="I9" s="40"/>
      <c r="J9" s="40" t="s">
        <v>219</v>
      </c>
      <c r="K9" s="40"/>
      <c r="L9" s="40"/>
      <c r="M9" s="41">
        <f ca="1">SUM(M3:M8)</f>
        <v>634.16554252717106</v>
      </c>
      <c r="AA9" s="1"/>
      <c r="AB9" s="1"/>
      <c r="AC9" s="1" t="str">
        <f>+ADDRESS(AA3,4,1,,"PARAMETRI ATTIVITA") &amp; ":" &amp; +ADDRESS(AA3+5,12,1,,)</f>
        <v>'PARAMETRI ATTIVITA'!$D$20:$L$25</v>
      </c>
      <c r="AD9" s="1"/>
      <c r="AE9" s="1"/>
      <c r="AF9" s="1"/>
      <c r="AG9" s="1"/>
      <c r="AH9" s="1"/>
    </row>
    <row r="10" spans="1:46">
      <c r="E10" s="12"/>
      <c r="H10" s="36"/>
      <c r="AA10" s="1"/>
      <c r="AB10" s="1"/>
      <c r="AC10" s="1"/>
      <c r="AD10" s="1"/>
      <c r="AE10" s="1"/>
      <c r="AF10" s="1"/>
      <c r="AG10" s="1"/>
      <c r="AH10" s="1"/>
    </row>
    <row r="11" spans="1:46">
      <c r="E11" s="12"/>
      <c r="AA11" s="1"/>
      <c r="AB11" s="1"/>
      <c r="AC11" s="1"/>
      <c r="AD11" s="1"/>
      <c r="AE11" s="1"/>
      <c r="AF11" s="1"/>
      <c r="AG11" s="1"/>
      <c r="AH11" s="1"/>
    </row>
    <row r="12" spans="1:46">
      <c r="AA12" s="1"/>
      <c r="AB12" s="1"/>
      <c r="AC12" s="1"/>
      <c r="AD12" s="1"/>
      <c r="AE12" s="1"/>
      <c r="AF12" s="1"/>
      <c r="AG12" s="1"/>
      <c r="AH12" s="1"/>
    </row>
    <row r="13" spans="1:46">
      <c r="AA13" s="1"/>
      <c r="AB13" s="1"/>
      <c r="AC13" s="1"/>
      <c r="AD13" s="1"/>
      <c r="AE13" s="1"/>
      <c r="AF13" s="1"/>
      <c r="AG13" s="1"/>
      <c r="AH13" s="1"/>
      <c r="AK13" t="b">
        <f>+ISERROR(VLOOKUP($B3,TabAtt,13,FALSE))</f>
        <v>0</v>
      </c>
    </row>
    <row r="14" spans="1:46">
      <c r="B14" s="29" t="s">
        <v>206</v>
      </c>
      <c r="D14" s="30" t="s">
        <v>206</v>
      </c>
      <c r="F14" s="30" t="s">
        <v>206</v>
      </c>
      <c r="G14" s="30" t="s">
        <v>210</v>
      </c>
      <c r="I14" s="30" t="s">
        <v>210</v>
      </c>
      <c r="M14" s="31" t="s">
        <v>213</v>
      </c>
      <c r="AA14" s="1"/>
      <c r="AB14" s="1"/>
      <c r="AC14" s="1">
        <f>+IF(F9&gt;0,IF((F3-F9)&gt;0,"(" &amp; F9 &amp; " + "&amp;F3-F9&amp;" x " &amp; F10 &amp;")x" &amp; F11,F3 &amp; "x " &amp; F11),F3)</f>
        <v>3000</v>
      </c>
      <c r="AD14" s="1" t="str">
        <f>+IF(G3="non def.",""," x" &amp;TEXT(H10,"#0,00"))</f>
        <v xml:space="preserve"> x0,00</v>
      </c>
      <c r="AE14" s="1" t="str">
        <f>+IF(I3="non def.",""," x" &amp; TEXT(J10,"#0,00"))</f>
        <v xml:space="preserve"> x0,00</v>
      </c>
      <c r="AF14" s="1"/>
      <c r="AG14" s="1"/>
      <c r="AH14" s="1"/>
    </row>
    <row r="15" spans="1:46">
      <c r="B15" s="29" t="s">
        <v>207</v>
      </c>
      <c r="D15" s="30" t="s">
        <v>208</v>
      </c>
      <c r="F15" s="30" t="s">
        <v>209</v>
      </c>
      <c r="G15" s="30" t="s">
        <v>211</v>
      </c>
      <c r="I15" s="30" t="s">
        <v>212</v>
      </c>
      <c r="M15" s="31" t="s">
        <v>214</v>
      </c>
      <c r="AA15" s="1"/>
      <c r="AB15" s="1"/>
      <c r="AC15" s="1"/>
      <c r="AD15" s="1"/>
      <c r="AE15" s="1"/>
      <c r="AF15" s="1"/>
      <c r="AG15" s="1"/>
      <c r="AH15" s="1"/>
    </row>
    <row r="16" spans="1:46" ht="21"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AA16" s="1"/>
      <c r="AB16" s="1"/>
      <c r="AC16" s="1"/>
      <c r="AD16" s="1"/>
      <c r="AE16" s="1"/>
      <c r="AF16" s="1" t="s">
        <v>190</v>
      </c>
      <c r="AG16" s="1" t="s">
        <v>191</v>
      </c>
      <c r="AH16" s="1" t="s">
        <v>192</v>
      </c>
    </row>
    <row r="17" spans="3:34">
      <c r="AA17" s="1"/>
      <c r="AB17" s="1"/>
      <c r="AC17" s="1" t="s">
        <v>182</v>
      </c>
      <c r="AD17" s="1">
        <v>1.2</v>
      </c>
      <c r="AE17" s="1" t="s">
        <v>185</v>
      </c>
      <c r="AF17" s="1">
        <v>1.2</v>
      </c>
      <c r="AG17" s="1">
        <v>1.5</v>
      </c>
      <c r="AH17" s="1">
        <v>2</v>
      </c>
    </row>
    <row r="18" spans="3:34">
      <c r="AA18" s="1"/>
      <c r="AB18" s="1"/>
      <c r="AC18" s="1" t="s">
        <v>223</v>
      </c>
      <c r="AD18" s="1">
        <v>1</v>
      </c>
      <c r="AE18" s="1" t="s">
        <v>186</v>
      </c>
      <c r="AF18" s="1">
        <v>1</v>
      </c>
      <c r="AG18" s="1">
        <v>1</v>
      </c>
      <c r="AH18" s="1">
        <v>1</v>
      </c>
    </row>
    <row r="19" spans="3:34">
      <c r="AA19" s="1"/>
      <c r="AB19" s="1"/>
      <c r="AC19" s="1" t="s">
        <v>224</v>
      </c>
      <c r="AD19" s="1">
        <v>1.5</v>
      </c>
      <c r="AE19" s="1"/>
      <c r="AF19" s="1"/>
      <c r="AG19" s="1"/>
      <c r="AH19" s="1"/>
    </row>
    <row r="20" spans="3:34">
      <c r="D20" s="23" t="s">
        <v>180</v>
      </c>
      <c r="E20" s="24" t="s">
        <v>225</v>
      </c>
      <c r="F20" s="23" t="s">
        <v>226</v>
      </c>
      <c r="G20" s="23"/>
      <c r="H20" s="23"/>
      <c r="I20" s="23" t="s">
        <v>189</v>
      </c>
      <c r="AA20" s="1"/>
      <c r="AB20" s="1"/>
      <c r="AC20" s="1"/>
      <c r="AD20" s="1"/>
      <c r="AE20" s="1"/>
      <c r="AF20" s="1"/>
      <c r="AG20" s="1"/>
      <c r="AH20" s="1"/>
    </row>
    <row r="21" spans="3:34" ht="60.75" customHeight="1">
      <c r="D21" s="32">
        <f ca="1">+M9</f>
        <v>634.16554252717106</v>
      </c>
      <c r="E21" s="53">
        <f>+MAX(A3:A8)</f>
        <v>4</v>
      </c>
      <c r="F21" s="54"/>
      <c r="G21" s="35"/>
      <c r="H21" s="35"/>
      <c r="I21" s="33">
        <v>50</v>
      </c>
      <c r="AA21" s="1"/>
      <c r="AB21" s="1"/>
      <c r="AC21" s="1"/>
      <c r="AD21" s="1" t="e">
        <f>+VLOOKUP(E21,$AC$17:$AD$19,2,FALSE)</f>
        <v>#N/A</v>
      </c>
      <c r="AE21" s="1" t="e">
        <f>+VLOOKUP(F21,$AE$17:$AH$18,2,FALSE)</f>
        <v>#N/A</v>
      </c>
      <c r="AF21" s="1" t="e">
        <f>+VLOOKUP(G21,$AE$17:$AH$18,3,FALSE)</f>
        <v>#N/A</v>
      </c>
      <c r="AG21" s="1" t="e">
        <f>+VLOOKUP(H21,$AE$17:$AH$18,4,FALSE)</f>
        <v>#N/A</v>
      </c>
      <c r="AH21" s="1"/>
    </row>
    <row r="22" spans="3:34">
      <c r="AA22" s="1"/>
      <c r="AB22" s="1"/>
      <c r="AC22" s="1"/>
      <c r="AD22" s="1"/>
      <c r="AE22" s="1"/>
      <c r="AF22" s="1"/>
      <c r="AG22" s="1"/>
      <c r="AH22" s="1"/>
    </row>
    <row r="23" spans="3:34">
      <c r="AA23" s="1"/>
      <c r="AB23" s="1"/>
      <c r="AC23" s="1"/>
      <c r="AD23" s="1"/>
      <c r="AE23" s="1"/>
      <c r="AF23" s="1"/>
      <c r="AG23" s="1"/>
      <c r="AH23" s="1"/>
    </row>
    <row r="24" spans="3:34">
      <c r="C24">
        <v>7</v>
      </c>
      <c r="AA24" s="1"/>
      <c r="AB24" s="1"/>
      <c r="AC24" s="1"/>
      <c r="AD24" s="1"/>
      <c r="AE24" s="1"/>
      <c r="AF24" s="1"/>
      <c r="AG24" s="1"/>
      <c r="AH24" s="1"/>
    </row>
    <row r="25" spans="3:34" ht="33.6">
      <c r="D25" s="26"/>
      <c r="E25" s="27" t="s">
        <v>205</v>
      </c>
      <c r="F25" s="257">
        <f ca="1">+D21*F21*I21</f>
        <v>0</v>
      </c>
      <c r="G25" s="257"/>
      <c r="AA25" s="1"/>
      <c r="AB25" s="1"/>
      <c r="AC25" s="1"/>
      <c r="AD25" s="1"/>
      <c r="AE25" s="1"/>
      <c r="AF25" s="1"/>
      <c r="AG25" s="1"/>
      <c r="AH25" s="1"/>
    </row>
    <row r="26" spans="3:34">
      <c r="AA26" s="1"/>
      <c r="AB26" s="1"/>
      <c r="AC26" s="1"/>
      <c r="AD26" s="1"/>
      <c r="AE26" s="1"/>
      <c r="AF26" s="1"/>
      <c r="AG26" s="1"/>
      <c r="AH26" s="1"/>
    </row>
    <row r="27" spans="3:34">
      <c r="AA27" s="1"/>
      <c r="AB27" s="1"/>
      <c r="AC27" s="1"/>
      <c r="AD27" s="1"/>
      <c r="AE27" s="1"/>
      <c r="AF27" s="1"/>
      <c r="AG27" s="1"/>
      <c r="AH27" s="1"/>
    </row>
    <row r="28" spans="3:34">
      <c r="AA28" s="1"/>
      <c r="AB28" s="1"/>
      <c r="AC28" s="1"/>
      <c r="AD28" s="1"/>
      <c r="AE28" s="1"/>
      <c r="AF28" s="1"/>
      <c r="AG28" s="1"/>
      <c r="AH28" s="1"/>
    </row>
    <row r="29" spans="3:34">
      <c r="AA29" s="1"/>
      <c r="AB29" s="1"/>
      <c r="AC29" s="1"/>
      <c r="AD29" s="1"/>
      <c r="AE29" s="1"/>
      <c r="AF29" s="1"/>
      <c r="AG29" s="1"/>
      <c r="AH29" s="1"/>
    </row>
    <row r="30" spans="3:34">
      <c r="J30">
        <f>1372*1.22</f>
        <v>1673.84</v>
      </c>
      <c r="AA30" s="1"/>
      <c r="AB30" s="1"/>
      <c r="AC30" s="1"/>
      <c r="AD30" s="1"/>
      <c r="AE30" s="1"/>
      <c r="AF30" s="1"/>
      <c r="AG30" s="1"/>
      <c r="AH30" s="1"/>
    </row>
    <row r="31" spans="3:34">
      <c r="AA31" s="1"/>
      <c r="AB31" s="1"/>
      <c r="AC31" s="1"/>
      <c r="AD31" s="1"/>
      <c r="AE31" s="1"/>
      <c r="AF31" s="1"/>
      <c r="AG31" s="1"/>
      <c r="AH31" s="1"/>
    </row>
    <row r="32" spans="3:34">
      <c r="AA32" s="1"/>
      <c r="AB32" s="1"/>
      <c r="AC32" s="1"/>
      <c r="AD32" s="1"/>
      <c r="AE32" s="1"/>
      <c r="AF32" s="1"/>
      <c r="AG32" s="1"/>
      <c r="AH32" s="1"/>
    </row>
    <row r="33" spans="27:34">
      <c r="AA33" s="1"/>
      <c r="AB33" s="1"/>
      <c r="AC33" s="1"/>
      <c r="AD33" s="1"/>
      <c r="AE33" s="1"/>
      <c r="AF33" s="1"/>
      <c r="AG33" s="1"/>
      <c r="AH33" s="1"/>
    </row>
  </sheetData>
  <mergeCells count="3">
    <mergeCell ref="F1:J1"/>
    <mergeCell ref="D16:M16"/>
    <mergeCell ref="F25:G25"/>
  </mergeCells>
  <dataValidations count="12">
    <dataValidation type="list" allowBlank="1" showInputMessage="1" showErrorMessage="1" sqref="L3:L8">
      <formula1>$AE$17:$AE$18</formula1>
    </dataValidation>
    <dataValidation type="list" allowBlank="1" showInputMessage="1" showErrorMessage="1" sqref="K3:K8">
      <formula1>$AC$17:$AC$19</formula1>
    </dataValidation>
    <dataValidation type="list" allowBlank="1" showInputMessage="1" showErrorMessage="1" sqref="I3">
      <formula1>OFFSET(INDIRECT($AG$3),0,0,$AB$3)</formula1>
    </dataValidation>
    <dataValidation type="list" allowBlank="1" showInputMessage="1" showErrorMessage="1" sqref="G3">
      <formula1>OFFSET(INDIRECT($AE$3),0,0,$AB$3)</formula1>
    </dataValidation>
    <dataValidation type="list" errorStyle="information" allowBlank="1" showInputMessage="1" showErrorMessage="1" promptTitle="Scelta Sottoipo" sqref="D3">
      <formula1>OFFSET(INDIRECT($AC$3),0,0,$AB$3)</formula1>
    </dataValidation>
    <dataValidation type="list" errorStyle="information" allowBlank="1" showInputMessage="1" showErrorMessage="1" promptTitle="Scelta Sottoipo" sqref="D4">
      <formula1>OFFSET(INDIRECT($AC$4),0,0,$AB$4)</formula1>
    </dataValidation>
    <dataValidation type="list" allowBlank="1" showInputMessage="1" showErrorMessage="1" sqref="G4 G5 G7:G8 G6">
      <formula1>OFFSET(INDIRECT($AE4),0,0,$AB4)</formula1>
    </dataValidation>
    <dataValidation type="list" allowBlank="1" showInputMessage="1" showErrorMessage="1" sqref="I4:I8">
      <formula1>OFFSET(INDIRECT($AG4),0,0,$AB4)</formula1>
    </dataValidation>
    <dataValidation type="list" errorStyle="information" allowBlank="1" showInputMessage="1" showErrorMessage="1" promptTitle="Scelta Sottoipo" sqref="D5">
      <formula1>OFFSET(INDIRECT($AC$5),0,0,$AB$5)</formula1>
    </dataValidation>
    <dataValidation type="list" errorStyle="information" allowBlank="1" showInputMessage="1" showErrorMessage="1" promptTitle="Scelta Sottoipo" sqref="D6">
      <formula1>OFFSET(INDIRECT($AC$6),0,0,$AB$6)</formula1>
    </dataValidation>
    <dataValidation type="list" errorStyle="information" allowBlank="1" showInputMessage="1" showErrorMessage="1" promptTitle="Scelta Sottoipo" sqref="D7">
      <formula1>OFFSET(INDIRECT($AC$7),0,0,$AB$7)</formula1>
    </dataValidation>
    <dataValidation type="list" errorStyle="information" allowBlank="1" showInputMessage="1" showErrorMessage="1" promptTitle="Scelta Sottoipo" sqref="D8">
      <formula1>OFFSET(INDIRECT($AC$8),0,0,$AB$8)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J115"/>
  <sheetViews>
    <sheetView topLeftCell="A75" workbookViewId="0"/>
  </sheetViews>
  <sheetFormatPr defaultColWidth="9.109375" defaultRowHeight="14.4"/>
  <cols>
    <col min="1" max="1" width="6.5546875" style="123" customWidth="1"/>
    <col min="2" max="2" width="61.33203125" style="124" customWidth="1"/>
    <col min="3" max="3" width="10.6640625" style="124" customWidth="1"/>
    <col min="4" max="4" width="12.44140625" style="125" customWidth="1"/>
    <col min="5" max="5" width="6.5546875" style="123" bestFit="1" customWidth="1"/>
    <col min="6" max="6" width="6" style="126" bestFit="1" customWidth="1"/>
    <col min="7" max="7" width="6.5546875" style="126" bestFit="1" customWidth="1"/>
    <col min="8" max="8" width="4.33203125" style="134" bestFit="1" customWidth="1"/>
    <col min="9" max="9" width="12.88671875" style="127" customWidth="1"/>
    <col min="10" max="10" width="12.88671875" style="126" bestFit="1" customWidth="1"/>
    <col min="11" max="11" width="16.6640625" style="128" customWidth="1"/>
    <col min="12" max="12" width="12.44140625" style="125" customWidth="1"/>
    <col min="13" max="14" width="9.109375" style="11"/>
    <col min="15" max="16" width="12.88671875" style="11" customWidth="1"/>
    <col min="17" max="17" width="19.88671875" style="11" hidden="1" customWidth="1"/>
    <col min="18" max="24" width="0" style="11" hidden="1" customWidth="1"/>
    <col min="25" max="25" width="13.44140625" style="11" hidden="1" customWidth="1"/>
    <col min="26" max="26" width="13.44140625" style="11" customWidth="1"/>
    <col min="27" max="16384" width="9.109375" style="11"/>
  </cols>
  <sheetData>
    <row r="1" spans="1:36">
      <c r="A1" s="330" t="s">
        <v>301</v>
      </c>
      <c r="B1" s="75"/>
      <c r="C1" s="76"/>
      <c r="D1" s="332" t="s">
        <v>299</v>
      </c>
      <c r="E1" s="333"/>
      <c r="F1" s="333"/>
      <c r="G1" s="333"/>
      <c r="H1" s="334"/>
      <c r="I1" s="332" t="s">
        <v>333</v>
      </c>
      <c r="J1" s="334"/>
      <c r="K1" s="345" t="s">
        <v>334</v>
      </c>
      <c r="L1" s="346"/>
    </row>
    <row r="2" spans="1:36" s="72" customFormat="1" ht="25.5" customHeight="1" thickBot="1">
      <c r="A2" s="331"/>
      <c r="B2" s="77" t="s">
        <v>282</v>
      </c>
      <c r="C2" s="78" t="s">
        <v>13</v>
      </c>
      <c r="D2" s="79" t="s">
        <v>284</v>
      </c>
      <c r="E2" s="80" t="s">
        <v>14</v>
      </c>
      <c r="F2" s="80" t="s">
        <v>283</v>
      </c>
      <c r="G2" s="80" t="s">
        <v>31</v>
      </c>
      <c r="H2" s="129" t="s">
        <v>300</v>
      </c>
      <c r="I2" s="82" t="s">
        <v>284</v>
      </c>
      <c r="J2" s="81" t="s">
        <v>202</v>
      </c>
      <c r="K2" s="82" t="s">
        <v>284</v>
      </c>
      <c r="L2" s="138" t="s">
        <v>202</v>
      </c>
      <c r="O2" s="72" t="s">
        <v>216</v>
      </c>
      <c r="P2" s="72" t="s">
        <v>217</v>
      </c>
      <c r="V2" s="73" t="s">
        <v>21</v>
      </c>
      <c r="AB2" s="72" t="s">
        <v>247</v>
      </c>
      <c r="AC2" s="72" t="s">
        <v>248</v>
      </c>
      <c r="AD2" s="72" t="s">
        <v>215</v>
      </c>
      <c r="AG2" s="72" t="s">
        <v>7</v>
      </c>
      <c r="AJ2" s="72" t="s">
        <v>8</v>
      </c>
    </row>
    <row r="3" spans="1:36" ht="27.6">
      <c r="A3" s="327">
        <v>1</v>
      </c>
      <c r="B3" s="343" t="s">
        <v>28</v>
      </c>
      <c r="C3" s="84">
        <f>+ROW(A3)</f>
        <v>3</v>
      </c>
      <c r="D3" s="85" t="s">
        <v>259</v>
      </c>
      <c r="E3" s="86" t="s">
        <v>44</v>
      </c>
      <c r="F3" s="87">
        <v>6</v>
      </c>
      <c r="G3" s="87">
        <v>1000</v>
      </c>
      <c r="H3" s="130">
        <v>0.2</v>
      </c>
      <c r="I3" s="89" t="s">
        <v>5</v>
      </c>
      <c r="J3" s="88">
        <v>2</v>
      </c>
      <c r="K3" s="90" t="s">
        <v>4</v>
      </c>
      <c r="L3" s="139">
        <v>3</v>
      </c>
      <c r="U3" s="11">
        <f t="shared" ref="U3:U66" si="0">+C3</f>
        <v>3</v>
      </c>
      <c r="V3" s="14" t="s">
        <v>20</v>
      </c>
      <c r="AB3" s="11">
        <v>0</v>
      </c>
      <c r="AC3" s="11">
        <v>0</v>
      </c>
      <c r="AD3" s="11">
        <f>+IF(O3="",J3,"F")</f>
        <v>2</v>
      </c>
      <c r="AE3" s="11" t="str">
        <f t="shared" ref="AE3:AE34" si="1">+IF(AB3=1,I3 &amp; CHAR(10) &amp;  "",I3)</f>
        <v>Infiammabile</v>
      </c>
      <c r="AG3" s="11" t="e">
        <f>+VLOOKUP($X3,A3:T23,8)</f>
        <v>#N/A</v>
      </c>
      <c r="AH3" s="11" t="str">
        <f>+IF(I3="","",AE3)</f>
        <v>Infiammabile</v>
      </c>
    </row>
    <row r="4" spans="1:36" ht="27.6">
      <c r="A4" s="327"/>
      <c r="B4" s="343"/>
      <c r="C4" s="84">
        <f>+ROW(A4)</f>
        <v>4</v>
      </c>
      <c r="D4" s="91" t="s">
        <v>260</v>
      </c>
      <c r="E4" s="92" t="s">
        <v>204</v>
      </c>
      <c r="F4" s="93">
        <v>100</v>
      </c>
      <c r="G4" s="325"/>
      <c r="H4" s="326"/>
      <c r="I4" s="94" t="s">
        <v>6</v>
      </c>
      <c r="J4" s="95">
        <v>1</v>
      </c>
      <c r="K4" s="96" t="s">
        <v>9</v>
      </c>
      <c r="L4" s="140">
        <v>1</v>
      </c>
      <c r="U4" s="11">
        <f t="shared" si="0"/>
        <v>4</v>
      </c>
      <c r="AB4" s="11">
        <v>0</v>
      </c>
      <c r="AC4" s="11">
        <v>0</v>
      </c>
      <c r="AD4" s="11">
        <f t="shared" ref="AD4:AD66" si="2">+IF(O4="",J4,"F")</f>
        <v>1</v>
      </c>
      <c r="AE4" s="11" t="str">
        <f t="shared" si="1"/>
        <v>Comburente</v>
      </c>
      <c r="AH4" s="11" t="str">
        <f t="shared" ref="AH4:AH66" si="3">+IF(I4="","",AE4)</f>
        <v>Comburente</v>
      </c>
    </row>
    <row r="5" spans="1:36" ht="27.6">
      <c r="A5" s="347">
        <v>2</v>
      </c>
      <c r="B5" s="342" t="s">
        <v>29</v>
      </c>
      <c r="C5" s="97">
        <f t="shared" ref="C5:C67" si="4">+ROW(A5)</f>
        <v>5</v>
      </c>
      <c r="D5" s="98" t="s">
        <v>261</v>
      </c>
      <c r="E5" s="99" t="s">
        <v>44</v>
      </c>
      <c r="F5" s="100">
        <v>6</v>
      </c>
      <c r="G5" s="100">
        <v>1000</v>
      </c>
      <c r="H5" s="131">
        <v>0.2</v>
      </c>
      <c r="I5" s="102" t="s">
        <v>5</v>
      </c>
      <c r="J5" s="101">
        <v>2</v>
      </c>
      <c r="K5" s="103" t="s">
        <v>4</v>
      </c>
      <c r="L5" s="141">
        <v>3</v>
      </c>
      <c r="U5" s="11">
        <f t="shared" si="0"/>
        <v>5</v>
      </c>
      <c r="AB5" s="11">
        <v>0</v>
      </c>
      <c r="AC5" s="11">
        <v>0</v>
      </c>
      <c r="AD5" s="11">
        <f t="shared" si="2"/>
        <v>2</v>
      </c>
      <c r="AE5" s="11" t="str">
        <f t="shared" si="1"/>
        <v>Infiammabile</v>
      </c>
      <c r="AH5" s="11" t="str">
        <f t="shared" si="3"/>
        <v>Infiammabile</v>
      </c>
    </row>
    <row r="6" spans="1:36" ht="27.6">
      <c r="A6" s="348"/>
      <c r="B6" s="342"/>
      <c r="C6" s="97">
        <f t="shared" si="4"/>
        <v>6</v>
      </c>
      <c r="D6" s="98" t="s">
        <v>260</v>
      </c>
      <c r="E6" s="99" t="s">
        <v>204</v>
      </c>
      <c r="F6" s="100">
        <v>4</v>
      </c>
      <c r="G6" s="272"/>
      <c r="H6" s="273"/>
      <c r="I6" s="102" t="s">
        <v>6</v>
      </c>
      <c r="J6" s="101">
        <v>1</v>
      </c>
      <c r="K6" s="103" t="s">
        <v>9</v>
      </c>
      <c r="L6" s="141">
        <v>1</v>
      </c>
      <c r="U6" s="11">
        <f t="shared" si="0"/>
        <v>6</v>
      </c>
      <c r="AB6" s="11">
        <v>0</v>
      </c>
      <c r="AC6" s="11">
        <v>0</v>
      </c>
      <c r="AD6" s="11">
        <f t="shared" si="2"/>
        <v>1</v>
      </c>
      <c r="AE6" s="11" t="str">
        <f t="shared" si="1"/>
        <v>Comburente</v>
      </c>
      <c r="AH6" s="11" t="str">
        <f t="shared" si="3"/>
        <v>Comburente</v>
      </c>
    </row>
    <row r="7" spans="1:36">
      <c r="A7" s="327">
        <v>3</v>
      </c>
      <c r="B7" s="343" t="s">
        <v>30</v>
      </c>
      <c r="C7" s="84">
        <f t="shared" si="4"/>
        <v>7</v>
      </c>
      <c r="D7" s="290" t="s">
        <v>48</v>
      </c>
      <c r="E7" s="291" t="s">
        <v>44</v>
      </c>
      <c r="F7" s="292">
        <v>6</v>
      </c>
      <c r="G7" s="292">
        <v>200</v>
      </c>
      <c r="H7" s="293">
        <v>0.1</v>
      </c>
      <c r="I7" s="94" t="s">
        <v>33</v>
      </c>
      <c r="J7" s="95">
        <v>1</v>
      </c>
      <c r="K7" s="96" t="s">
        <v>4</v>
      </c>
      <c r="L7" s="140">
        <v>3</v>
      </c>
      <c r="U7" s="11">
        <f t="shared" si="0"/>
        <v>7</v>
      </c>
      <c r="AB7" s="11">
        <v>0</v>
      </c>
      <c r="AC7" s="11">
        <v>0</v>
      </c>
      <c r="AD7" s="11">
        <f t="shared" si="2"/>
        <v>1</v>
      </c>
      <c r="AE7" s="11" t="str">
        <f t="shared" si="1"/>
        <v>Solo Deposito</v>
      </c>
      <c r="AH7" s="11" t="str">
        <f t="shared" si="3"/>
        <v>Solo Deposito</v>
      </c>
    </row>
    <row r="8" spans="1:36" ht="27.6">
      <c r="A8" s="327"/>
      <c r="B8" s="343"/>
      <c r="C8" s="84">
        <f t="shared" si="4"/>
        <v>8</v>
      </c>
      <c r="D8" s="290"/>
      <c r="E8" s="291"/>
      <c r="F8" s="292"/>
      <c r="G8" s="292"/>
      <c r="H8" s="293"/>
      <c r="I8" s="94" t="s">
        <v>34</v>
      </c>
      <c r="J8" s="95">
        <v>1.2</v>
      </c>
      <c r="K8" s="96" t="s">
        <v>9</v>
      </c>
      <c r="L8" s="140">
        <v>1</v>
      </c>
      <c r="U8" s="11">
        <f t="shared" si="0"/>
        <v>8</v>
      </c>
      <c r="AB8" s="11">
        <v>0</v>
      </c>
      <c r="AC8" s="11">
        <v>0</v>
      </c>
      <c r="AD8" s="11">
        <f t="shared" si="2"/>
        <v>1.2</v>
      </c>
      <c r="AE8" s="11" t="str">
        <f t="shared" si="1"/>
        <v>Deposito e rivendita</v>
      </c>
      <c r="AH8" s="11" t="str">
        <f t="shared" si="3"/>
        <v>Deposito e rivendita</v>
      </c>
    </row>
    <row r="9" spans="1:36">
      <c r="A9" s="328">
        <v>4</v>
      </c>
      <c r="B9" s="342" t="s">
        <v>35</v>
      </c>
      <c r="C9" s="97">
        <f t="shared" si="4"/>
        <v>9</v>
      </c>
      <c r="D9" s="276" t="s">
        <v>54</v>
      </c>
      <c r="E9" s="278" t="s">
        <v>55</v>
      </c>
      <c r="F9" s="280">
        <v>300</v>
      </c>
      <c r="G9" s="280">
        <v>200</v>
      </c>
      <c r="H9" s="294">
        <v>0.1</v>
      </c>
      <c r="I9" s="102" t="s">
        <v>33</v>
      </c>
      <c r="J9" s="101">
        <v>1</v>
      </c>
      <c r="K9" s="103" t="s">
        <v>4</v>
      </c>
      <c r="L9" s="141">
        <v>3</v>
      </c>
      <c r="U9" s="11">
        <f t="shared" si="0"/>
        <v>9</v>
      </c>
      <c r="AB9" s="11">
        <v>0</v>
      </c>
      <c r="AC9" s="11">
        <v>0</v>
      </c>
      <c r="AD9" s="11">
        <f t="shared" si="2"/>
        <v>1</v>
      </c>
      <c r="AE9" s="11" t="str">
        <f t="shared" si="1"/>
        <v>Solo Deposito</v>
      </c>
      <c r="AH9" s="11" t="str">
        <f t="shared" si="3"/>
        <v>Solo Deposito</v>
      </c>
    </row>
    <row r="10" spans="1:36" ht="27.6">
      <c r="A10" s="328"/>
      <c r="B10" s="342"/>
      <c r="C10" s="97">
        <f t="shared" si="4"/>
        <v>10</v>
      </c>
      <c r="D10" s="276"/>
      <c r="E10" s="278"/>
      <c r="F10" s="280"/>
      <c r="G10" s="280"/>
      <c r="H10" s="294"/>
      <c r="I10" s="102" t="s">
        <v>34</v>
      </c>
      <c r="J10" s="101">
        <v>1.2</v>
      </c>
      <c r="K10" s="103" t="s">
        <v>9</v>
      </c>
      <c r="L10" s="141">
        <v>1</v>
      </c>
      <c r="U10" s="11">
        <f t="shared" si="0"/>
        <v>10</v>
      </c>
      <c r="AB10" s="11">
        <v>0</v>
      </c>
      <c r="AC10" s="11">
        <v>0</v>
      </c>
      <c r="AD10" s="11">
        <f t="shared" si="2"/>
        <v>1.2</v>
      </c>
      <c r="AE10" s="11" t="str">
        <f t="shared" si="1"/>
        <v>Deposito e rivendita</v>
      </c>
      <c r="AH10" s="11" t="str">
        <f t="shared" si="3"/>
        <v>Deposito e rivendita</v>
      </c>
    </row>
    <row r="11" spans="1:36" ht="27.6">
      <c r="A11" s="340">
        <v>5</v>
      </c>
      <c r="B11" s="343" t="s">
        <v>36</v>
      </c>
      <c r="C11" s="84">
        <f t="shared" si="4"/>
        <v>11</v>
      </c>
      <c r="D11" s="290" t="s">
        <v>41</v>
      </c>
      <c r="E11" s="291" t="s">
        <v>55</v>
      </c>
      <c r="F11" s="292">
        <v>300</v>
      </c>
      <c r="G11" s="292">
        <v>200</v>
      </c>
      <c r="H11" s="293">
        <v>0.1</v>
      </c>
      <c r="I11" s="94" t="s">
        <v>4</v>
      </c>
      <c r="J11" s="95">
        <v>3</v>
      </c>
      <c r="K11" s="286"/>
      <c r="L11" s="287"/>
      <c r="U11" s="11">
        <f t="shared" si="0"/>
        <v>11</v>
      </c>
      <c r="AB11" s="11">
        <v>0</v>
      </c>
      <c r="AC11" s="11">
        <v>0</v>
      </c>
      <c r="AD11" s="11">
        <f t="shared" si="2"/>
        <v>3</v>
      </c>
      <c r="AE11" s="11" t="str">
        <f t="shared" si="1"/>
        <v>Direttiva Seveso</v>
      </c>
      <c r="AH11" s="11" t="str">
        <f t="shared" si="3"/>
        <v>Direttiva Seveso</v>
      </c>
    </row>
    <row r="12" spans="1:36" ht="27.6">
      <c r="A12" s="341"/>
      <c r="B12" s="344"/>
      <c r="C12" s="105">
        <f t="shared" si="4"/>
        <v>12</v>
      </c>
      <c r="D12" s="290"/>
      <c r="E12" s="291"/>
      <c r="F12" s="292"/>
      <c r="G12" s="292"/>
      <c r="H12" s="293"/>
      <c r="I12" s="106" t="s">
        <v>9</v>
      </c>
      <c r="J12" s="107">
        <v>1</v>
      </c>
      <c r="K12" s="288"/>
      <c r="L12" s="289"/>
      <c r="U12" s="11">
        <f t="shared" si="0"/>
        <v>12</v>
      </c>
      <c r="AB12" s="11">
        <v>0</v>
      </c>
      <c r="AC12" s="11">
        <v>0</v>
      </c>
      <c r="AD12" s="11">
        <f t="shared" si="2"/>
        <v>1</v>
      </c>
      <c r="AE12" s="11" t="str">
        <f t="shared" si="1"/>
        <v>Non Direttiva Seveso</v>
      </c>
      <c r="AH12" s="11" t="str">
        <f t="shared" si="3"/>
        <v>Non Direttiva Seveso</v>
      </c>
    </row>
    <row r="13" spans="1:36" ht="16.5" customHeight="1">
      <c r="A13" s="171">
        <v>6</v>
      </c>
      <c r="B13" s="172" t="s">
        <v>38</v>
      </c>
      <c r="C13" s="173">
        <f t="shared" si="4"/>
        <v>13</v>
      </c>
      <c r="D13" s="174" t="s">
        <v>285</v>
      </c>
      <c r="E13" s="175" t="s">
        <v>40</v>
      </c>
      <c r="F13" s="176">
        <v>100</v>
      </c>
      <c r="G13" s="323"/>
      <c r="H13" s="324"/>
      <c r="I13" s="321"/>
      <c r="J13" s="322"/>
      <c r="K13" s="266"/>
      <c r="L13" s="267"/>
      <c r="U13" s="11">
        <f t="shared" si="0"/>
        <v>13</v>
      </c>
      <c r="AB13" s="11">
        <v>0</v>
      </c>
      <c r="AC13" s="11">
        <v>0</v>
      </c>
      <c r="AD13" s="11">
        <f t="shared" si="2"/>
        <v>0</v>
      </c>
      <c r="AE13" s="11">
        <f t="shared" si="1"/>
        <v>0</v>
      </c>
      <c r="AH13" s="11" t="str">
        <f t="shared" si="3"/>
        <v/>
      </c>
    </row>
    <row r="14" spans="1:36">
      <c r="A14" s="177">
        <v>7</v>
      </c>
      <c r="B14" s="178" t="s">
        <v>42</v>
      </c>
      <c r="C14" s="179">
        <f t="shared" si="4"/>
        <v>14</v>
      </c>
      <c r="D14" s="180" t="s">
        <v>43</v>
      </c>
      <c r="E14" s="181" t="s">
        <v>44</v>
      </c>
      <c r="F14" s="182">
        <v>8</v>
      </c>
      <c r="G14" s="325"/>
      <c r="H14" s="326"/>
      <c r="I14" s="268"/>
      <c r="J14" s="269"/>
      <c r="K14" s="268"/>
      <c r="L14" s="269"/>
      <c r="U14" s="11">
        <f t="shared" si="0"/>
        <v>14</v>
      </c>
      <c r="AB14" s="11">
        <v>0</v>
      </c>
      <c r="AC14" s="11">
        <v>0</v>
      </c>
      <c r="AD14" s="11">
        <f t="shared" si="2"/>
        <v>0</v>
      </c>
      <c r="AE14" s="11">
        <f t="shared" si="1"/>
        <v>0</v>
      </c>
      <c r="AH14" s="11" t="str">
        <f t="shared" si="3"/>
        <v/>
      </c>
    </row>
    <row r="15" spans="1:36">
      <c r="A15" s="171">
        <v>8</v>
      </c>
      <c r="B15" s="172" t="s">
        <v>45</v>
      </c>
      <c r="C15" s="173">
        <f t="shared" si="4"/>
        <v>15</v>
      </c>
      <c r="D15" s="174" t="s">
        <v>46</v>
      </c>
      <c r="E15" s="175" t="s">
        <v>49</v>
      </c>
      <c r="F15" s="176">
        <v>20</v>
      </c>
      <c r="G15" s="274"/>
      <c r="H15" s="275"/>
      <c r="I15" s="266"/>
      <c r="J15" s="267"/>
      <c r="K15" s="266"/>
      <c r="L15" s="267"/>
      <c r="Q15" s="11" t="e">
        <f ca="1">+VLOOKUP(H15,INDIRECT(G15),2,FALSE)</f>
        <v>#REF!</v>
      </c>
      <c r="U15" s="11">
        <f t="shared" si="0"/>
        <v>15</v>
      </c>
      <c r="AB15" s="11">
        <v>0</v>
      </c>
      <c r="AC15" s="11">
        <v>0</v>
      </c>
      <c r="AD15" s="11">
        <f t="shared" si="2"/>
        <v>0</v>
      </c>
      <c r="AE15" s="11">
        <f t="shared" si="1"/>
        <v>0</v>
      </c>
      <c r="AH15" s="11" t="str">
        <f t="shared" si="3"/>
        <v/>
      </c>
    </row>
    <row r="16" spans="1:36">
      <c r="A16" s="177">
        <v>9</v>
      </c>
      <c r="B16" s="178" t="s">
        <v>47</v>
      </c>
      <c r="C16" s="179">
        <f t="shared" si="4"/>
        <v>16</v>
      </c>
      <c r="D16" s="180" t="s">
        <v>48</v>
      </c>
      <c r="E16" s="181" t="s">
        <v>44</v>
      </c>
      <c r="F16" s="182">
        <v>4</v>
      </c>
      <c r="G16" s="93">
        <v>1000</v>
      </c>
      <c r="H16" s="132">
        <v>0.2</v>
      </c>
      <c r="I16" s="268"/>
      <c r="J16" s="269"/>
      <c r="K16" s="268"/>
      <c r="L16" s="269"/>
      <c r="U16" s="11">
        <f t="shared" si="0"/>
        <v>16</v>
      </c>
      <c r="AB16" s="11">
        <v>0</v>
      </c>
      <c r="AC16" s="11">
        <v>0</v>
      </c>
      <c r="AD16" s="11">
        <f t="shared" si="2"/>
        <v>0</v>
      </c>
      <c r="AE16" s="11">
        <f t="shared" si="1"/>
        <v>0</v>
      </c>
      <c r="AH16" s="11" t="str">
        <f t="shared" si="3"/>
        <v/>
      </c>
    </row>
    <row r="17" spans="1:34">
      <c r="A17" s="336">
        <v>10</v>
      </c>
      <c r="B17" s="172" t="s">
        <v>50</v>
      </c>
      <c r="C17" s="173">
        <f t="shared" si="4"/>
        <v>17</v>
      </c>
      <c r="D17" s="309" t="s">
        <v>48</v>
      </c>
      <c r="E17" s="310" t="s">
        <v>44</v>
      </c>
      <c r="F17" s="311">
        <v>6</v>
      </c>
      <c r="G17" s="280">
        <v>1000</v>
      </c>
      <c r="H17" s="294">
        <v>0.1</v>
      </c>
      <c r="I17" s="102" t="s">
        <v>5</v>
      </c>
      <c r="J17" s="101">
        <v>2</v>
      </c>
      <c r="K17" s="258"/>
      <c r="L17" s="259"/>
      <c r="U17" s="11">
        <f t="shared" si="0"/>
        <v>17</v>
      </c>
      <c r="AB17" s="11">
        <v>0</v>
      </c>
      <c r="AC17" s="11">
        <v>0</v>
      </c>
      <c r="AD17" s="11">
        <f t="shared" si="2"/>
        <v>2</v>
      </c>
      <c r="AE17" s="11" t="str">
        <f t="shared" si="1"/>
        <v>Infiammabile</v>
      </c>
      <c r="AH17" s="11" t="str">
        <f t="shared" si="3"/>
        <v>Infiammabile</v>
      </c>
    </row>
    <row r="18" spans="1:34">
      <c r="A18" s="337"/>
      <c r="B18" s="172"/>
      <c r="C18" s="173">
        <f t="shared" si="4"/>
        <v>18</v>
      </c>
      <c r="D18" s="309"/>
      <c r="E18" s="310"/>
      <c r="F18" s="311"/>
      <c r="G18" s="280"/>
      <c r="H18" s="294"/>
      <c r="I18" s="102" t="s">
        <v>52</v>
      </c>
      <c r="J18" s="101">
        <v>1</v>
      </c>
      <c r="K18" s="270"/>
      <c r="L18" s="271"/>
      <c r="U18" s="11">
        <f t="shared" si="0"/>
        <v>18</v>
      </c>
      <c r="AB18" s="11">
        <v>0</v>
      </c>
      <c r="AC18" s="11">
        <v>0</v>
      </c>
      <c r="AD18" s="11">
        <f t="shared" si="2"/>
        <v>1</v>
      </c>
      <c r="AE18" s="11" t="str">
        <f t="shared" si="1"/>
        <v>Combustibile</v>
      </c>
      <c r="AH18" s="11" t="str">
        <f t="shared" si="3"/>
        <v>Combustibile</v>
      </c>
    </row>
    <row r="19" spans="1:34">
      <c r="A19" s="338">
        <v>11</v>
      </c>
      <c r="B19" s="178" t="s">
        <v>51</v>
      </c>
      <c r="C19" s="179">
        <f t="shared" si="4"/>
        <v>19</v>
      </c>
      <c r="D19" s="318" t="s">
        <v>48</v>
      </c>
      <c r="E19" s="319" t="s">
        <v>44</v>
      </c>
      <c r="F19" s="320">
        <v>6</v>
      </c>
      <c r="G19" s="292">
        <v>1000</v>
      </c>
      <c r="H19" s="293">
        <v>0.1</v>
      </c>
      <c r="I19" s="94" t="s">
        <v>5</v>
      </c>
      <c r="J19" s="95">
        <v>2</v>
      </c>
      <c r="K19" s="286"/>
      <c r="L19" s="287"/>
      <c r="U19" s="11">
        <f t="shared" si="0"/>
        <v>19</v>
      </c>
      <c r="AB19" s="11">
        <v>0</v>
      </c>
      <c r="AC19" s="11">
        <v>0</v>
      </c>
      <c r="AD19" s="11">
        <f t="shared" si="2"/>
        <v>2</v>
      </c>
      <c r="AE19" s="11" t="str">
        <f t="shared" si="1"/>
        <v>Infiammabile</v>
      </c>
      <c r="AH19" s="11" t="str">
        <f t="shared" si="3"/>
        <v>Infiammabile</v>
      </c>
    </row>
    <row r="20" spans="1:34">
      <c r="A20" s="339"/>
      <c r="B20" s="178"/>
      <c r="C20" s="179">
        <f t="shared" si="4"/>
        <v>20</v>
      </c>
      <c r="D20" s="318"/>
      <c r="E20" s="319"/>
      <c r="F20" s="320"/>
      <c r="G20" s="292"/>
      <c r="H20" s="293"/>
      <c r="I20" s="94" t="s">
        <v>52</v>
      </c>
      <c r="J20" s="95">
        <v>1</v>
      </c>
      <c r="K20" s="288"/>
      <c r="L20" s="289"/>
      <c r="U20" s="11">
        <f t="shared" si="0"/>
        <v>20</v>
      </c>
      <c r="AB20" s="11">
        <v>0</v>
      </c>
      <c r="AC20" s="11">
        <v>0</v>
      </c>
      <c r="AD20" s="11">
        <f t="shared" si="2"/>
        <v>1</v>
      </c>
      <c r="AE20" s="11" t="str">
        <f t="shared" si="1"/>
        <v>Combustibile</v>
      </c>
      <c r="AH20" s="11" t="str">
        <f t="shared" si="3"/>
        <v>Combustibile</v>
      </c>
    </row>
    <row r="21" spans="1:34">
      <c r="A21" s="328">
        <v>12</v>
      </c>
      <c r="B21" s="108" t="s">
        <v>53</v>
      </c>
      <c r="C21" s="97">
        <f t="shared" si="4"/>
        <v>21</v>
      </c>
      <c r="D21" s="276" t="s">
        <v>54</v>
      </c>
      <c r="E21" s="278" t="s">
        <v>55</v>
      </c>
      <c r="F21" s="280">
        <v>150</v>
      </c>
      <c r="G21" s="280">
        <v>100</v>
      </c>
      <c r="H21" s="294">
        <v>0.1</v>
      </c>
      <c r="I21" s="102" t="s">
        <v>5</v>
      </c>
      <c r="J21" s="101">
        <v>1.5</v>
      </c>
      <c r="K21" s="103" t="s">
        <v>56</v>
      </c>
      <c r="L21" s="141">
        <v>1</v>
      </c>
      <c r="U21" s="11">
        <f t="shared" si="0"/>
        <v>21</v>
      </c>
      <c r="AB21" s="11">
        <v>0</v>
      </c>
      <c r="AC21" s="11">
        <v>0</v>
      </c>
      <c r="AD21" s="11">
        <f t="shared" si="2"/>
        <v>1.5</v>
      </c>
      <c r="AE21" s="11" t="str">
        <f t="shared" si="1"/>
        <v>Infiammabile</v>
      </c>
      <c r="AH21" s="11" t="str">
        <f t="shared" si="3"/>
        <v>Infiammabile</v>
      </c>
    </row>
    <row r="22" spans="1:34">
      <c r="A22" s="328"/>
      <c r="B22" s="108"/>
      <c r="C22" s="97">
        <f t="shared" si="4"/>
        <v>22</v>
      </c>
      <c r="D22" s="276"/>
      <c r="E22" s="278"/>
      <c r="F22" s="280"/>
      <c r="G22" s="280"/>
      <c r="H22" s="294"/>
      <c r="I22" s="102" t="s">
        <v>52</v>
      </c>
      <c r="J22" s="101">
        <v>1</v>
      </c>
      <c r="K22" s="103" t="s">
        <v>57</v>
      </c>
      <c r="L22" s="141">
        <v>1.5</v>
      </c>
      <c r="U22" s="11">
        <f t="shared" si="0"/>
        <v>22</v>
      </c>
      <c r="AB22" s="11">
        <v>0</v>
      </c>
      <c r="AC22" s="11">
        <v>0</v>
      </c>
      <c r="AD22" s="11">
        <f t="shared" si="2"/>
        <v>1</v>
      </c>
      <c r="AE22" s="11" t="str">
        <f t="shared" si="1"/>
        <v>Combustibile</v>
      </c>
      <c r="AH22" s="11" t="str">
        <f t="shared" si="3"/>
        <v>Combustibile</v>
      </c>
    </row>
    <row r="23" spans="1:34">
      <c r="A23" s="327">
        <v>13</v>
      </c>
      <c r="B23" s="109" t="s">
        <v>58</v>
      </c>
      <c r="C23" s="84">
        <f t="shared" si="4"/>
        <v>23</v>
      </c>
      <c r="D23" s="290" t="s">
        <v>39</v>
      </c>
      <c r="E23" s="291" t="s">
        <v>40</v>
      </c>
      <c r="F23" s="292">
        <v>100</v>
      </c>
      <c r="G23" s="295"/>
      <c r="H23" s="296"/>
      <c r="I23" s="94" t="s">
        <v>5</v>
      </c>
      <c r="J23" s="95">
        <v>1.5</v>
      </c>
      <c r="K23" s="96" t="s">
        <v>59</v>
      </c>
      <c r="L23" s="140">
        <v>1</v>
      </c>
      <c r="U23" s="11">
        <f t="shared" si="0"/>
        <v>23</v>
      </c>
      <c r="AB23" s="11">
        <v>0</v>
      </c>
      <c r="AC23" s="11">
        <v>0</v>
      </c>
      <c r="AD23" s="11">
        <f t="shared" si="2"/>
        <v>1.5</v>
      </c>
      <c r="AE23" s="11" t="str">
        <f t="shared" si="1"/>
        <v>Infiammabile</v>
      </c>
      <c r="AH23" s="11" t="str">
        <f t="shared" si="3"/>
        <v>Infiammabile</v>
      </c>
    </row>
    <row r="24" spans="1:34">
      <c r="A24" s="327"/>
      <c r="B24" s="109"/>
      <c r="C24" s="84">
        <f t="shared" si="4"/>
        <v>24</v>
      </c>
      <c r="D24" s="290"/>
      <c r="E24" s="291"/>
      <c r="F24" s="292"/>
      <c r="G24" s="297"/>
      <c r="H24" s="298"/>
      <c r="I24" s="94" t="s">
        <v>52</v>
      </c>
      <c r="J24" s="95">
        <v>1</v>
      </c>
      <c r="K24" s="96" t="s">
        <v>60</v>
      </c>
      <c r="L24" s="140">
        <v>1.5</v>
      </c>
      <c r="U24" s="11">
        <f t="shared" si="0"/>
        <v>24</v>
      </c>
      <c r="AB24" s="11">
        <v>0</v>
      </c>
      <c r="AC24" s="11">
        <v>0</v>
      </c>
      <c r="AD24" s="11">
        <f t="shared" si="2"/>
        <v>1</v>
      </c>
      <c r="AE24" s="11" t="str">
        <f t="shared" si="1"/>
        <v>Combustibile</v>
      </c>
      <c r="AH24" s="11" t="str">
        <f t="shared" si="3"/>
        <v>Combustibile</v>
      </c>
    </row>
    <row r="25" spans="1:34">
      <c r="A25" s="335">
        <v>14</v>
      </c>
      <c r="B25" s="172" t="s">
        <v>61</v>
      </c>
      <c r="C25" s="173">
        <f t="shared" si="4"/>
        <v>25</v>
      </c>
      <c r="D25" s="309" t="s">
        <v>48</v>
      </c>
      <c r="E25" s="310" t="s">
        <v>44</v>
      </c>
      <c r="F25" s="311">
        <v>4</v>
      </c>
      <c r="G25" s="280">
        <v>300</v>
      </c>
      <c r="H25" s="294">
        <v>0.1</v>
      </c>
      <c r="I25" s="102" t="s">
        <v>5</v>
      </c>
      <c r="J25" s="101">
        <v>1.5</v>
      </c>
      <c r="K25" s="258"/>
      <c r="L25" s="259"/>
      <c r="U25" s="11">
        <f t="shared" si="0"/>
        <v>25</v>
      </c>
      <c r="AB25" s="11">
        <v>0</v>
      </c>
      <c r="AC25" s="11">
        <v>0</v>
      </c>
      <c r="AD25" s="11">
        <f t="shared" si="2"/>
        <v>1.5</v>
      </c>
      <c r="AE25" s="11" t="str">
        <f t="shared" si="1"/>
        <v>Infiammabile</v>
      </c>
      <c r="AH25" s="11" t="str">
        <f t="shared" si="3"/>
        <v>Infiammabile</v>
      </c>
    </row>
    <row r="26" spans="1:34">
      <c r="A26" s="335"/>
      <c r="B26" s="172"/>
      <c r="C26" s="173">
        <f t="shared" si="4"/>
        <v>26</v>
      </c>
      <c r="D26" s="309"/>
      <c r="E26" s="310"/>
      <c r="F26" s="311"/>
      <c r="G26" s="280"/>
      <c r="H26" s="294"/>
      <c r="I26" s="102" t="s">
        <v>52</v>
      </c>
      <c r="J26" s="101">
        <v>1</v>
      </c>
      <c r="K26" s="270"/>
      <c r="L26" s="271"/>
      <c r="U26" s="11">
        <f t="shared" si="0"/>
        <v>26</v>
      </c>
      <c r="AB26" s="11">
        <v>0</v>
      </c>
      <c r="AC26" s="11">
        <v>0</v>
      </c>
      <c r="AD26" s="11">
        <f t="shared" si="2"/>
        <v>1</v>
      </c>
      <c r="AE26" s="11" t="str">
        <f t="shared" si="1"/>
        <v>Combustibile</v>
      </c>
      <c r="AH26" s="11" t="str">
        <f t="shared" si="3"/>
        <v>Combustibile</v>
      </c>
    </row>
    <row r="27" spans="1:34">
      <c r="A27" s="327">
        <v>15</v>
      </c>
      <c r="B27" s="109" t="s">
        <v>63</v>
      </c>
      <c r="C27" s="84">
        <f t="shared" si="4"/>
        <v>27</v>
      </c>
      <c r="D27" s="290" t="s">
        <v>54</v>
      </c>
      <c r="E27" s="291" t="s">
        <v>55</v>
      </c>
      <c r="F27" s="292">
        <v>150</v>
      </c>
      <c r="G27" s="292">
        <v>100</v>
      </c>
      <c r="H27" s="293">
        <v>0.1</v>
      </c>
      <c r="I27" s="94" t="s">
        <v>5</v>
      </c>
      <c r="J27" s="95">
        <v>1.5</v>
      </c>
      <c r="K27" s="96" t="s">
        <v>56</v>
      </c>
      <c r="L27" s="140">
        <v>1</v>
      </c>
      <c r="U27" s="11">
        <f t="shared" si="0"/>
        <v>27</v>
      </c>
      <c r="AB27" s="11">
        <v>0</v>
      </c>
      <c r="AC27" s="11">
        <v>0</v>
      </c>
      <c r="AD27" s="11">
        <f t="shared" si="2"/>
        <v>1.5</v>
      </c>
      <c r="AE27" s="11" t="str">
        <f t="shared" si="1"/>
        <v>Infiammabile</v>
      </c>
      <c r="AH27" s="11" t="str">
        <f t="shared" si="3"/>
        <v>Infiammabile</v>
      </c>
    </row>
    <row r="28" spans="1:34">
      <c r="A28" s="327"/>
      <c r="B28" s="109"/>
      <c r="C28" s="84">
        <f t="shared" si="4"/>
        <v>28</v>
      </c>
      <c r="D28" s="290"/>
      <c r="E28" s="291"/>
      <c r="F28" s="292"/>
      <c r="G28" s="292"/>
      <c r="H28" s="293"/>
      <c r="I28" s="94" t="s">
        <v>52</v>
      </c>
      <c r="J28" s="95">
        <v>1</v>
      </c>
      <c r="K28" s="96" t="s">
        <v>57</v>
      </c>
      <c r="L28" s="140">
        <v>1.5</v>
      </c>
      <c r="U28" s="11">
        <f t="shared" si="0"/>
        <v>28</v>
      </c>
      <c r="AB28" s="11">
        <v>0</v>
      </c>
      <c r="AC28" s="11">
        <v>0</v>
      </c>
      <c r="AD28" s="11">
        <f t="shared" si="2"/>
        <v>1</v>
      </c>
      <c r="AE28" s="11" t="str">
        <f t="shared" si="1"/>
        <v>Combustibile</v>
      </c>
      <c r="AH28" s="11" t="str">
        <f t="shared" si="3"/>
        <v>Combustibile</v>
      </c>
    </row>
    <row r="29" spans="1:34">
      <c r="A29" s="171">
        <v>16</v>
      </c>
      <c r="B29" s="172" t="s">
        <v>62</v>
      </c>
      <c r="C29" s="173">
        <f t="shared" si="4"/>
        <v>29</v>
      </c>
      <c r="D29" s="174" t="s">
        <v>43</v>
      </c>
      <c r="E29" s="175" t="s">
        <v>44</v>
      </c>
      <c r="F29" s="176">
        <v>6</v>
      </c>
      <c r="G29" s="272"/>
      <c r="H29" s="273"/>
      <c r="I29" s="266"/>
      <c r="J29" s="267"/>
      <c r="K29" s="266"/>
      <c r="L29" s="267"/>
      <c r="U29" s="11">
        <f t="shared" si="0"/>
        <v>29</v>
      </c>
      <c r="AB29" s="11">
        <v>0</v>
      </c>
      <c r="AC29" s="11">
        <v>0</v>
      </c>
      <c r="AD29" s="11">
        <f t="shared" si="2"/>
        <v>0</v>
      </c>
      <c r="AE29" s="11">
        <f t="shared" si="1"/>
        <v>0</v>
      </c>
      <c r="AH29" s="11" t="str">
        <f t="shared" si="3"/>
        <v/>
      </c>
    </row>
    <row r="30" spans="1:34">
      <c r="A30" s="177">
        <v>17</v>
      </c>
      <c r="B30" s="178" t="s">
        <v>64</v>
      </c>
      <c r="C30" s="179">
        <f t="shared" si="4"/>
        <v>30</v>
      </c>
      <c r="D30" s="180" t="s">
        <v>48</v>
      </c>
      <c r="E30" s="181" t="s">
        <v>44</v>
      </c>
      <c r="F30" s="182">
        <v>8</v>
      </c>
      <c r="G30" s="93">
        <v>1000</v>
      </c>
      <c r="H30" s="132">
        <v>0.1</v>
      </c>
      <c r="I30" s="268"/>
      <c r="J30" s="269"/>
      <c r="K30" s="268"/>
      <c r="L30" s="269"/>
      <c r="U30" s="11">
        <f t="shared" si="0"/>
        <v>30</v>
      </c>
      <c r="AB30" s="11">
        <v>0</v>
      </c>
      <c r="AC30" s="11">
        <v>0</v>
      </c>
      <c r="AD30" s="11">
        <f t="shared" si="2"/>
        <v>0</v>
      </c>
      <c r="AE30" s="11">
        <f t="shared" si="1"/>
        <v>0</v>
      </c>
      <c r="AH30" s="11" t="str">
        <f t="shared" si="3"/>
        <v/>
      </c>
    </row>
    <row r="31" spans="1:34">
      <c r="A31" s="335">
        <v>18</v>
      </c>
      <c r="B31" s="172" t="s">
        <v>65</v>
      </c>
      <c r="C31" s="173">
        <f t="shared" si="4"/>
        <v>31</v>
      </c>
      <c r="D31" s="309" t="s">
        <v>48</v>
      </c>
      <c r="E31" s="310" t="s">
        <v>44</v>
      </c>
      <c r="F31" s="280">
        <v>8</v>
      </c>
      <c r="G31" s="280">
        <v>1000</v>
      </c>
      <c r="H31" s="294">
        <v>0.1</v>
      </c>
      <c r="I31" s="112" t="s">
        <v>66</v>
      </c>
      <c r="J31" s="101">
        <v>1</v>
      </c>
      <c r="K31" s="258"/>
      <c r="L31" s="259"/>
      <c r="U31" s="11">
        <f t="shared" si="0"/>
        <v>31</v>
      </c>
      <c r="AB31" s="11">
        <v>0</v>
      </c>
      <c r="AC31" s="11">
        <v>0</v>
      </c>
      <c r="AD31" s="11">
        <f t="shared" si="2"/>
        <v>1</v>
      </c>
      <c r="AE31" s="11" t="str">
        <f t="shared" si="1"/>
        <v>Libera vendita</v>
      </c>
      <c r="AH31" s="11" t="str">
        <f t="shared" si="3"/>
        <v>Libera vendita</v>
      </c>
    </row>
    <row r="32" spans="1:34" ht="27.6">
      <c r="A32" s="335"/>
      <c r="B32" s="172"/>
      <c r="C32" s="173">
        <f t="shared" si="4"/>
        <v>32</v>
      </c>
      <c r="D32" s="309"/>
      <c r="E32" s="310"/>
      <c r="F32" s="280"/>
      <c r="G32" s="280"/>
      <c r="H32" s="294"/>
      <c r="I32" s="102" t="s">
        <v>67</v>
      </c>
      <c r="J32" s="101">
        <v>2</v>
      </c>
      <c r="K32" s="270"/>
      <c r="L32" s="271"/>
      <c r="U32" s="11">
        <f t="shared" si="0"/>
        <v>32</v>
      </c>
      <c r="AB32" s="11">
        <v>0</v>
      </c>
      <c r="AC32" s="11">
        <v>0</v>
      </c>
      <c r="AD32" s="11">
        <f t="shared" si="2"/>
        <v>2</v>
      </c>
      <c r="AE32" s="11" t="str">
        <f t="shared" si="1"/>
        <v>Non Libera vend.</v>
      </c>
      <c r="AH32" s="11" t="str">
        <f t="shared" si="3"/>
        <v>Non Libera vend.</v>
      </c>
    </row>
    <row r="33" spans="1:34">
      <c r="A33" s="177">
        <v>19</v>
      </c>
      <c r="B33" s="178" t="s">
        <v>68</v>
      </c>
      <c r="C33" s="179">
        <f t="shared" si="4"/>
        <v>33</v>
      </c>
      <c r="D33" s="180" t="s">
        <v>43</v>
      </c>
      <c r="E33" s="181" t="s">
        <v>44</v>
      </c>
      <c r="F33" s="182">
        <v>8</v>
      </c>
      <c r="G33" s="93">
        <v>5000</v>
      </c>
      <c r="H33" s="132">
        <v>0.1</v>
      </c>
      <c r="I33" s="268"/>
      <c r="J33" s="269"/>
      <c r="K33" s="268"/>
      <c r="L33" s="269"/>
      <c r="Q33" s="11" t="s">
        <v>69</v>
      </c>
      <c r="U33" s="11">
        <f t="shared" si="0"/>
        <v>33</v>
      </c>
      <c r="AB33" s="11">
        <v>0</v>
      </c>
      <c r="AC33" s="11">
        <v>0</v>
      </c>
      <c r="AD33" s="11">
        <f t="shared" si="2"/>
        <v>0</v>
      </c>
      <c r="AE33" s="11">
        <f t="shared" si="1"/>
        <v>0</v>
      </c>
      <c r="AH33" s="11" t="str">
        <f t="shared" si="3"/>
        <v/>
      </c>
    </row>
    <row r="34" spans="1:34">
      <c r="A34" s="171">
        <v>20</v>
      </c>
      <c r="B34" s="172" t="s">
        <v>70</v>
      </c>
      <c r="C34" s="173">
        <f t="shared" si="4"/>
        <v>34</v>
      </c>
      <c r="D34" s="174" t="s">
        <v>43</v>
      </c>
      <c r="E34" s="175" t="s">
        <v>44</v>
      </c>
      <c r="F34" s="176">
        <v>8</v>
      </c>
      <c r="G34" s="154">
        <v>5000</v>
      </c>
      <c r="H34" s="131">
        <v>0.1</v>
      </c>
      <c r="I34" s="266"/>
      <c r="J34" s="267"/>
      <c r="K34" s="266"/>
      <c r="L34" s="267"/>
      <c r="Q34" s="11" t="s">
        <v>69</v>
      </c>
      <c r="U34" s="11">
        <f t="shared" si="0"/>
        <v>34</v>
      </c>
      <c r="AB34" s="11">
        <v>0</v>
      </c>
      <c r="AC34" s="11">
        <v>0</v>
      </c>
      <c r="AD34" s="11">
        <f t="shared" si="2"/>
        <v>0</v>
      </c>
      <c r="AE34" s="11">
        <f t="shared" si="1"/>
        <v>0</v>
      </c>
      <c r="AH34" s="11" t="str">
        <f t="shared" si="3"/>
        <v/>
      </c>
    </row>
    <row r="35" spans="1:34">
      <c r="A35" s="177">
        <v>21</v>
      </c>
      <c r="B35" s="178" t="s">
        <v>71</v>
      </c>
      <c r="C35" s="179">
        <f t="shared" si="4"/>
        <v>35</v>
      </c>
      <c r="D35" s="180" t="s">
        <v>43</v>
      </c>
      <c r="E35" s="181" t="s">
        <v>44</v>
      </c>
      <c r="F35" s="182">
        <v>8</v>
      </c>
      <c r="G35" s="154">
        <v>5000</v>
      </c>
      <c r="H35" s="132">
        <v>0.1</v>
      </c>
      <c r="I35" s="268"/>
      <c r="J35" s="269"/>
      <c r="K35" s="268"/>
      <c r="L35" s="269"/>
      <c r="Q35" s="11" t="s">
        <v>69</v>
      </c>
      <c r="U35" s="11">
        <f t="shared" si="0"/>
        <v>35</v>
      </c>
      <c r="AB35" s="11">
        <v>0</v>
      </c>
      <c r="AC35" s="11">
        <v>0</v>
      </c>
      <c r="AD35" s="11">
        <f t="shared" si="2"/>
        <v>0</v>
      </c>
      <c r="AE35" s="11">
        <f t="shared" ref="AE35:AE65" si="5">+IF(AB35=1,I35 &amp; CHAR(10) &amp;  "",I35)</f>
        <v>0</v>
      </c>
      <c r="AH35" s="11" t="str">
        <f t="shared" si="3"/>
        <v/>
      </c>
    </row>
    <row r="36" spans="1:34">
      <c r="A36" s="171">
        <v>22</v>
      </c>
      <c r="B36" s="172" t="s">
        <v>72</v>
      </c>
      <c r="C36" s="173">
        <f t="shared" si="4"/>
        <v>36</v>
      </c>
      <c r="D36" s="174" t="s">
        <v>43</v>
      </c>
      <c r="E36" s="175" t="s">
        <v>44</v>
      </c>
      <c r="F36" s="176">
        <v>8</v>
      </c>
      <c r="G36" s="154">
        <v>5000</v>
      </c>
      <c r="H36" s="131">
        <v>0.1</v>
      </c>
      <c r="I36" s="266"/>
      <c r="J36" s="267"/>
      <c r="K36" s="266"/>
      <c r="L36" s="267"/>
      <c r="Q36" s="11" t="s">
        <v>73</v>
      </c>
      <c r="U36" s="11">
        <f t="shared" si="0"/>
        <v>36</v>
      </c>
      <c r="AB36" s="11">
        <v>0</v>
      </c>
      <c r="AC36" s="11">
        <v>0</v>
      </c>
      <c r="AD36" s="11">
        <f t="shared" si="2"/>
        <v>0</v>
      </c>
      <c r="AE36" s="11">
        <f t="shared" si="5"/>
        <v>0</v>
      </c>
      <c r="AH36" s="11" t="str">
        <f t="shared" si="3"/>
        <v/>
      </c>
    </row>
    <row r="37" spans="1:34">
      <c r="A37" s="177">
        <v>23</v>
      </c>
      <c r="B37" s="178" t="s">
        <v>75</v>
      </c>
      <c r="C37" s="179">
        <f t="shared" si="4"/>
        <v>37</v>
      </c>
      <c r="D37" s="180" t="s">
        <v>43</v>
      </c>
      <c r="E37" s="181" t="s">
        <v>44</v>
      </c>
      <c r="F37" s="182">
        <v>8</v>
      </c>
      <c r="G37" s="154">
        <v>5000</v>
      </c>
      <c r="H37" s="132">
        <v>0.1</v>
      </c>
      <c r="I37" s="268"/>
      <c r="J37" s="269"/>
      <c r="K37" s="268"/>
      <c r="L37" s="269"/>
      <c r="Q37" s="11" t="s">
        <v>69</v>
      </c>
      <c r="U37" s="11">
        <f t="shared" si="0"/>
        <v>37</v>
      </c>
      <c r="AB37" s="11">
        <v>0</v>
      </c>
      <c r="AC37" s="11">
        <v>0</v>
      </c>
      <c r="AD37" s="11">
        <f t="shared" si="2"/>
        <v>0</v>
      </c>
      <c r="AE37" s="11">
        <f t="shared" si="5"/>
        <v>0</v>
      </c>
      <c r="AH37" s="11" t="str">
        <f t="shared" si="3"/>
        <v/>
      </c>
    </row>
    <row r="38" spans="1:34">
      <c r="A38" s="104">
        <v>24</v>
      </c>
      <c r="B38" s="108" t="s">
        <v>74</v>
      </c>
      <c r="C38" s="97">
        <f t="shared" si="4"/>
        <v>38</v>
      </c>
      <c r="D38" s="98" t="s">
        <v>43</v>
      </c>
      <c r="E38" s="99" t="s">
        <v>44</v>
      </c>
      <c r="F38" s="100">
        <v>8</v>
      </c>
      <c r="G38" s="154">
        <v>5000</v>
      </c>
      <c r="H38" s="131">
        <v>0.1</v>
      </c>
      <c r="I38" s="266"/>
      <c r="J38" s="267"/>
      <c r="K38" s="266"/>
      <c r="L38" s="267"/>
      <c r="Q38" s="11" t="s">
        <v>69</v>
      </c>
      <c r="U38" s="11">
        <f t="shared" si="0"/>
        <v>38</v>
      </c>
      <c r="AB38" s="11">
        <v>0</v>
      </c>
      <c r="AC38" s="11">
        <v>0</v>
      </c>
      <c r="AD38" s="11">
        <f t="shared" si="2"/>
        <v>0</v>
      </c>
      <c r="AE38" s="11">
        <f t="shared" si="5"/>
        <v>0</v>
      </c>
      <c r="AH38" s="11" t="str">
        <f t="shared" si="3"/>
        <v/>
      </c>
    </row>
    <row r="39" spans="1:34">
      <c r="A39" s="83">
        <v>25</v>
      </c>
      <c r="B39" s="109" t="s">
        <v>76</v>
      </c>
      <c r="C39" s="84">
        <f t="shared" si="4"/>
        <v>39</v>
      </c>
      <c r="D39" s="91" t="s">
        <v>43</v>
      </c>
      <c r="E39" s="92" t="s">
        <v>44</v>
      </c>
      <c r="F39" s="93">
        <v>8</v>
      </c>
      <c r="G39" s="154">
        <v>5000</v>
      </c>
      <c r="H39" s="132">
        <v>0.1</v>
      </c>
      <c r="I39" s="268"/>
      <c r="J39" s="269"/>
      <c r="K39" s="268"/>
      <c r="L39" s="269"/>
      <c r="Q39" s="11" t="s">
        <v>69</v>
      </c>
      <c r="U39" s="11">
        <f t="shared" si="0"/>
        <v>39</v>
      </c>
      <c r="AB39" s="11">
        <v>0</v>
      </c>
      <c r="AC39" s="11">
        <v>0</v>
      </c>
      <c r="AD39" s="11">
        <f t="shared" si="2"/>
        <v>0</v>
      </c>
      <c r="AE39" s="11">
        <f t="shared" si="5"/>
        <v>0</v>
      </c>
      <c r="AH39" s="11" t="str">
        <f t="shared" si="3"/>
        <v/>
      </c>
    </row>
    <row r="40" spans="1:34">
      <c r="A40" s="171">
        <v>26</v>
      </c>
      <c r="B40" s="172" t="s">
        <v>324</v>
      </c>
      <c r="C40" s="173">
        <f t="shared" si="4"/>
        <v>40</v>
      </c>
      <c r="D40" s="174" t="s">
        <v>43</v>
      </c>
      <c r="E40" s="175" t="s">
        <v>44</v>
      </c>
      <c r="F40" s="176">
        <v>8</v>
      </c>
      <c r="G40" s="154">
        <v>5000</v>
      </c>
      <c r="H40" s="131">
        <v>0.1</v>
      </c>
      <c r="I40" s="266"/>
      <c r="J40" s="267"/>
      <c r="K40" s="266"/>
      <c r="L40" s="267"/>
      <c r="Q40" s="11" t="s">
        <v>69</v>
      </c>
      <c r="U40" s="11">
        <f t="shared" si="0"/>
        <v>40</v>
      </c>
      <c r="AB40" s="11">
        <v>0</v>
      </c>
      <c r="AC40" s="11">
        <v>0</v>
      </c>
      <c r="AD40" s="11">
        <f t="shared" si="2"/>
        <v>0</v>
      </c>
      <c r="AE40" s="11">
        <f t="shared" si="5"/>
        <v>0</v>
      </c>
      <c r="AH40" s="11" t="str">
        <f t="shared" si="3"/>
        <v/>
      </c>
    </row>
    <row r="41" spans="1:34">
      <c r="A41" s="327">
        <v>27</v>
      </c>
      <c r="B41" s="109" t="s">
        <v>78</v>
      </c>
      <c r="C41" s="84">
        <f t="shared" si="4"/>
        <v>41</v>
      </c>
      <c r="D41" s="290" t="s">
        <v>48</v>
      </c>
      <c r="E41" s="291" t="s">
        <v>44</v>
      </c>
      <c r="F41" s="292">
        <v>6</v>
      </c>
      <c r="G41" s="292">
        <v>1000</v>
      </c>
      <c r="H41" s="293">
        <v>0.1</v>
      </c>
      <c r="I41" s="282" t="s">
        <v>288</v>
      </c>
      <c r="J41" s="284" t="str">
        <f>+"X =(" &amp;O41&amp;"Q-"&amp;P41&amp;")/Q)"</f>
        <v>X =(2Q-20)/Q)</v>
      </c>
      <c r="K41" s="96" t="s">
        <v>83</v>
      </c>
      <c r="L41" s="140">
        <v>0.6</v>
      </c>
      <c r="O41" s="11">
        <v>2</v>
      </c>
      <c r="P41" s="11">
        <v>20</v>
      </c>
      <c r="Q41" s="11" t="s">
        <v>84</v>
      </c>
      <c r="U41" s="11">
        <f t="shared" si="0"/>
        <v>41</v>
      </c>
      <c r="AA41" s="11" t="s">
        <v>287</v>
      </c>
      <c r="AB41" s="11">
        <v>1</v>
      </c>
      <c r="AC41" s="11">
        <v>0</v>
      </c>
      <c r="AD41" s="11" t="str">
        <f t="shared" si="2"/>
        <v>F</v>
      </c>
      <c r="AE41" s="11" t="str">
        <f t="shared" si="5"/>
        <v xml:space="preserve">massa [t] Q
</v>
      </c>
      <c r="AH41" s="11" t="str">
        <f t="shared" si="3"/>
        <v xml:space="preserve">massa [t] Q
</v>
      </c>
    </row>
    <row r="42" spans="1:34">
      <c r="A42" s="327"/>
      <c r="B42" s="109"/>
      <c r="C42" s="84">
        <f t="shared" si="4"/>
        <v>42</v>
      </c>
      <c r="D42" s="290"/>
      <c r="E42" s="291"/>
      <c r="F42" s="292"/>
      <c r="G42" s="292"/>
      <c r="H42" s="293"/>
      <c r="I42" s="283"/>
      <c r="J42" s="285"/>
      <c r="K42" s="96" t="s">
        <v>82</v>
      </c>
      <c r="L42" s="140">
        <v>1</v>
      </c>
      <c r="U42" s="11">
        <f t="shared" si="0"/>
        <v>42</v>
      </c>
      <c r="AB42" s="11">
        <v>1</v>
      </c>
      <c r="AC42" s="11">
        <v>0</v>
      </c>
      <c r="AD42" s="11">
        <f t="shared" si="2"/>
        <v>0</v>
      </c>
      <c r="AE42" s="11" t="str">
        <f t="shared" si="5"/>
        <v xml:space="preserve">
</v>
      </c>
      <c r="AH42" s="11" t="str">
        <f t="shared" si="3"/>
        <v/>
      </c>
    </row>
    <row r="43" spans="1:34">
      <c r="A43" s="328">
        <v>28</v>
      </c>
      <c r="B43" s="108" t="s">
        <v>86</v>
      </c>
      <c r="C43" s="97">
        <f t="shared" si="4"/>
        <v>43</v>
      </c>
      <c r="D43" s="276" t="s">
        <v>48</v>
      </c>
      <c r="E43" s="278" t="s">
        <v>44</v>
      </c>
      <c r="F43" s="280">
        <v>6</v>
      </c>
      <c r="G43" s="280">
        <v>1000</v>
      </c>
      <c r="H43" s="294">
        <v>0.1</v>
      </c>
      <c r="I43" s="282" t="s">
        <v>288</v>
      </c>
      <c r="J43" s="305" t="str">
        <f>+"X =(" &amp;O43&amp;"Q-"&amp;P43&amp;")/Q)"</f>
        <v>X =(2Q-50)/Q)</v>
      </c>
      <c r="K43" s="258"/>
      <c r="L43" s="259"/>
      <c r="O43" s="11">
        <v>2</v>
      </c>
      <c r="P43" s="11">
        <v>50</v>
      </c>
      <c r="Q43" s="11" t="s">
        <v>87</v>
      </c>
      <c r="U43" s="11">
        <f t="shared" si="0"/>
        <v>43</v>
      </c>
      <c r="AB43" s="11">
        <v>1</v>
      </c>
      <c r="AC43" s="11">
        <v>0</v>
      </c>
      <c r="AD43" s="11" t="str">
        <f t="shared" si="2"/>
        <v>F</v>
      </c>
      <c r="AE43" s="11" t="str">
        <f t="shared" si="5"/>
        <v xml:space="preserve">massa [t] Q
</v>
      </c>
      <c r="AH43" s="11" t="str">
        <f t="shared" si="3"/>
        <v xml:space="preserve">massa [t] Q
</v>
      </c>
    </row>
    <row r="44" spans="1:34">
      <c r="A44" s="328"/>
      <c r="B44" s="108"/>
      <c r="C44" s="97">
        <f t="shared" si="4"/>
        <v>44</v>
      </c>
      <c r="D44" s="276"/>
      <c r="E44" s="278"/>
      <c r="F44" s="280"/>
      <c r="G44" s="280"/>
      <c r="H44" s="294"/>
      <c r="I44" s="283" t="s">
        <v>251</v>
      </c>
      <c r="J44" s="306"/>
      <c r="K44" s="270"/>
      <c r="L44" s="271"/>
      <c r="U44" s="11">
        <f t="shared" si="0"/>
        <v>44</v>
      </c>
      <c r="AB44" s="11">
        <v>1</v>
      </c>
      <c r="AC44" s="11">
        <v>0</v>
      </c>
      <c r="AD44" s="11">
        <f t="shared" si="2"/>
        <v>0</v>
      </c>
      <c r="AE44" s="11" t="str">
        <f t="shared" si="5"/>
        <v xml:space="preserve">
</v>
      </c>
      <c r="AH44" s="11" t="str">
        <f t="shared" si="3"/>
        <v/>
      </c>
    </row>
    <row r="45" spans="1:34">
      <c r="A45" s="177">
        <v>29</v>
      </c>
      <c r="B45" s="178" t="s">
        <v>88</v>
      </c>
      <c r="C45" s="179">
        <f t="shared" si="4"/>
        <v>45</v>
      </c>
      <c r="D45" s="180" t="s">
        <v>43</v>
      </c>
      <c r="E45" s="181" t="s">
        <v>44</v>
      </c>
      <c r="F45" s="182">
        <v>6</v>
      </c>
      <c r="G45" s="93">
        <v>2000</v>
      </c>
      <c r="H45" s="132">
        <v>0.1</v>
      </c>
      <c r="I45" s="268"/>
      <c r="J45" s="269"/>
      <c r="K45" s="268"/>
      <c r="L45" s="269"/>
      <c r="U45" s="11">
        <f t="shared" si="0"/>
        <v>45</v>
      </c>
      <c r="AB45" s="11">
        <v>0</v>
      </c>
      <c r="AC45" s="11">
        <v>0</v>
      </c>
      <c r="AD45" s="11">
        <f t="shared" si="2"/>
        <v>0</v>
      </c>
      <c r="AE45" s="11">
        <f t="shared" si="5"/>
        <v>0</v>
      </c>
      <c r="AH45" s="11" t="str">
        <f t="shared" si="3"/>
        <v/>
      </c>
    </row>
    <row r="46" spans="1:34">
      <c r="A46" s="171">
        <v>30</v>
      </c>
      <c r="B46" s="172" t="s">
        <v>89</v>
      </c>
      <c r="C46" s="173">
        <f t="shared" si="4"/>
        <v>46</v>
      </c>
      <c r="D46" s="174" t="s">
        <v>43</v>
      </c>
      <c r="E46" s="175" t="s">
        <v>44</v>
      </c>
      <c r="F46" s="176">
        <v>6</v>
      </c>
      <c r="G46" s="100">
        <v>2000</v>
      </c>
      <c r="H46" s="131">
        <v>0.1</v>
      </c>
      <c r="I46" s="266"/>
      <c r="J46" s="267"/>
      <c r="K46" s="266"/>
      <c r="L46" s="267"/>
      <c r="U46" s="11">
        <f t="shared" si="0"/>
        <v>46</v>
      </c>
      <c r="AB46" s="11">
        <v>0</v>
      </c>
      <c r="AC46" s="11">
        <v>0</v>
      </c>
      <c r="AD46" s="11">
        <f t="shared" si="2"/>
        <v>0</v>
      </c>
      <c r="AE46" s="11">
        <f t="shared" si="5"/>
        <v>0</v>
      </c>
      <c r="AH46" s="11" t="str">
        <f t="shared" si="3"/>
        <v/>
      </c>
    </row>
    <row r="47" spans="1:34">
      <c r="A47" s="83">
        <v>31</v>
      </c>
      <c r="B47" s="109" t="s">
        <v>90</v>
      </c>
      <c r="C47" s="84">
        <f t="shared" si="4"/>
        <v>47</v>
      </c>
      <c r="D47" s="91" t="s">
        <v>43</v>
      </c>
      <c r="E47" s="92" t="s">
        <v>44</v>
      </c>
      <c r="F47" s="93">
        <v>6</v>
      </c>
      <c r="G47" s="153">
        <v>2000</v>
      </c>
      <c r="H47" s="132">
        <v>0.1</v>
      </c>
      <c r="I47" s="94" t="s">
        <v>288</v>
      </c>
      <c r="J47" s="95" t="str">
        <f>+"X =(" &amp;O47&amp;"Q-"&amp;P47&amp;")/Q)"</f>
        <v>X =(2Q-50)/Q)</v>
      </c>
      <c r="K47" s="268"/>
      <c r="L47" s="269"/>
      <c r="O47" s="11">
        <v>2</v>
      </c>
      <c r="P47" s="11">
        <v>50</v>
      </c>
      <c r="Q47" s="11" t="s">
        <v>87</v>
      </c>
      <c r="U47" s="11">
        <f t="shared" si="0"/>
        <v>47</v>
      </c>
      <c r="AB47" s="11">
        <v>1</v>
      </c>
      <c r="AC47" s="11">
        <v>0</v>
      </c>
      <c r="AD47" s="11" t="str">
        <f t="shared" si="2"/>
        <v>F</v>
      </c>
      <c r="AE47" s="11" t="str">
        <f t="shared" si="5"/>
        <v xml:space="preserve">massa [t] Q
</v>
      </c>
      <c r="AH47" s="11" t="str">
        <f t="shared" si="3"/>
        <v xml:space="preserve">massa [t] Q
</v>
      </c>
    </row>
    <row r="48" spans="1:34">
      <c r="A48" s="104">
        <v>32</v>
      </c>
      <c r="B48" s="108" t="s">
        <v>91</v>
      </c>
      <c r="C48" s="97">
        <f t="shared" si="4"/>
        <v>48</v>
      </c>
      <c r="D48" s="98" t="s">
        <v>43</v>
      </c>
      <c r="E48" s="99" t="s">
        <v>44</v>
      </c>
      <c r="F48" s="100">
        <v>6</v>
      </c>
      <c r="G48" s="153">
        <v>2000</v>
      </c>
      <c r="H48" s="131">
        <v>0.1</v>
      </c>
      <c r="I48" s="102" t="s">
        <v>288</v>
      </c>
      <c r="J48" s="101" t="str">
        <f>+"X =(" &amp;O48&amp;"Q-"&amp;P48&amp;")/Q)"</f>
        <v>X =(2Q-50)/Q)</v>
      </c>
      <c r="K48" s="266"/>
      <c r="L48" s="267"/>
      <c r="O48" s="11">
        <v>2</v>
      </c>
      <c r="P48" s="11">
        <v>50</v>
      </c>
      <c r="Q48" s="11" t="s">
        <v>87</v>
      </c>
      <c r="U48" s="11">
        <f t="shared" si="0"/>
        <v>48</v>
      </c>
      <c r="AB48" s="11">
        <v>1</v>
      </c>
      <c r="AC48" s="11">
        <v>0</v>
      </c>
      <c r="AD48" s="11" t="str">
        <f t="shared" si="2"/>
        <v>F</v>
      </c>
      <c r="AE48" s="11" t="str">
        <f t="shared" si="5"/>
        <v xml:space="preserve">massa [t] Q
</v>
      </c>
      <c r="AH48" s="11" t="str">
        <f t="shared" si="3"/>
        <v xml:space="preserve">massa [t] Q
</v>
      </c>
    </row>
    <row r="49" spans="1:34">
      <c r="A49" s="327">
        <v>33</v>
      </c>
      <c r="B49" s="109" t="s">
        <v>92</v>
      </c>
      <c r="C49" s="84">
        <f t="shared" si="4"/>
        <v>49</v>
      </c>
      <c r="D49" s="290" t="s">
        <v>48</v>
      </c>
      <c r="E49" s="291" t="s">
        <v>44</v>
      </c>
      <c r="F49" s="292">
        <v>6</v>
      </c>
      <c r="G49" s="292">
        <v>2000</v>
      </c>
      <c r="H49" s="293">
        <v>0.1</v>
      </c>
      <c r="I49" s="282" t="s">
        <v>288</v>
      </c>
      <c r="J49" s="284" t="str">
        <f>+"X =(" &amp;O49&amp;"Q-"&amp;P49&amp;")/Q)"</f>
        <v>X =(2Q-50)/Q)</v>
      </c>
      <c r="K49" s="114" t="s">
        <v>93</v>
      </c>
      <c r="L49" s="140">
        <v>1</v>
      </c>
      <c r="O49" s="11">
        <v>2</v>
      </c>
      <c r="P49" s="11">
        <v>50</v>
      </c>
      <c r="Q49" s="11" t="s">
        <v>87</v>
      </c>
      <c r="U49" s="11">
        <f t="shared" si="0"/>
        <v>49</v>
      </c>
      <c r="AB49" s="11">
        <v>1</v>
      </c>
      <c r="AC49" s="11">
        <v>0</v>
      </c>
      <c r="AD49" s="11" t="str">
        <f t="shared" si="2"/>
        <v>F</v>
      </c>
      <c r="AE49" s="11" t="str">
        <f t="shared" si="5"/>
        <v xml:space="preserve">massa [t] Q
</v>
      </c>
      <c r="AH49" s="11" t="str">
        <f t="shared" si="3"/>
        <v xml:space="preserve">massa [t] Q
</v>
      </c>
    </row>
    <row r="50" spans="1:34" ht="27.6">
      <c r="A50" s="327"/>
      <c r="B50" s="109"/>
      <c r="C50" s="84">
        <f t="shared" si="4"/>
        <v>50</v>
      </c>
      <c r="D50" s="290"/>
      <c r="E50" s="291"/>
      <c r="F50" s="292"/>
      <c r="G50" s="292"/>
      <c r="H50" s="293"/>
      <c r="I50" s="283" t="s">
        <v>251</v>
      </c>
      <c r="J50" s="285"/>
      <c r="K50" s="96" t="s">
        <v>289</v>
      </c>
      <c r="L50" s="140">
        <v>1.5</v>
      </c>
      <c r="U50" s="11">
        <f t="shared" si="0"/>
        <v>50</v>
      </c>
      <c r="AB50" s="11">
        <v>1</v>
      </c>
      <c r="AC50" s="11">
        <v>0</v>
      </c>
      <c r="AD50" s="11">
        <f t="shared" si="2"/>
        <v>0</v>
      </c>
      <c r="AE50" s="11" t="str">
        <f t="shared" si="5"/>
        <v xml:space="preserve">
</v>
      </c>
      <c r="AH50" s="11" t="str">
        <f t="shared" si="3"/>
        <v/>
      </c>
    </row>
    <row r="51" spans="1:34">
      <c r="A51" s="328">
        <v>34</v>
      </c>
      <c r="B51" s="108" t="s">
        <v>95</v>
      </c>
      <c r="C51" s="97">
        <f t="shared" si="4"/>
        <v>51</v>
      </c>
      <c r="D51" s="276" t="s">
        <v>48</v>
      </c>
      <c r="E51" s="278" t="s">
        <v>44</v>
      </c>
      <c r="F51" s="280">
        <v>4</v>
      </c>
      <c r="G51" s="280">
        <v>2000</v>
      </c>
      <c r="H51" s="294">
        <v>0.1</v>
      </c>
      <c r="I51" s="303" t="s">
        <v>288</v>
      </c>
      <c r="J51" s="305" t="str">
        <f>+"X =(" &amp;O51&amp;"Q-"&amp;P51&amp;")/Q)"</f>
        <v>X =(2Q-50)/Q)</v>
      </c>
      <c r="K51" s="111" t="s">
        <v>232</v>
      </c>
      <c r="L51" s="141">
        <v>1</v>
      </c>
      <c r="O51" s="11">
        <v>2</v>
      </c>
      <c r="P51" s="11">
        <v>50</v>
      </c>
      <c r="Q51" s="11" t="s">
        <v>87</v>
      </c>
      <c r="U51" s="11">
        <f t="shared" si="0"/>
        <v>51</v>
      </c>
      <c r="AB51" s="11">
        <v>1</v>
      </c>
      <c r="AC51" s="11">
        <v>0</v>
      </c>
      <c r="AD51" s="11" t="str">
        <f t="shared" si="2"/>
        <v>F</v>
      </c>
      <c r="AE51" s="11" t="str">
        <f t="shared" si="5"/>
        <v xml:space="preserve">massa [t] Q
</v>
      </c>
      <c r="AH51" s="11" t="str">
        <f t="shared" si="3"/>
        <v xml:space="preserve">massa [t] Q
</v>
      </c>
    </row>
    <row r="52" spans="1:34">
      <c r="A52" s="328"/>
      <c r="B52" s="108"/>
      <c r="C52" s="97"/>
      <c r="D52" s="276"/>
      <c r="E52" s="278"/>
      <c r="F52" s="280"/>
      <c r="G52" s="280"/>
      <c r="H52" s="294"/>
      <c r="I52" s="304" t="s">
        <v>251</v>
      </c>
      <c r="J52" s="306"/>
      <c r="K52" s="111" t="s">
        <v>233</v>
      </c>
      <c r="L52" s="141">
        <v>2</v>
      </c>
      <c r="AB52" s="11">
        <v>1</v>
      </c>
      <c r="AC52" s="11">
        <v>0</v>
      </c>
      <c r="AD52" s="11">
        <f t="shared" si="2"/>
        <v>0</v>
      </c>
      <c r="AE52" s="11" t="str">
        <f t="shared" si="5"/>
        <v xml:space="preserve">
</v>
      </c>
      <c r="AH52" s="11" t="str">
        <f t="shared" si="3"/>
        <v/>
      </c>
    </row>
    <row r="53" spans="1:34">
      <c r="A53" s="327">
        <v>35</v>
      </c>
      <c r="B53" s="109" t="s">
        <v>96</v>
      </c>
      <c r="C53" s="84">
        <f t="shared" si="4"/>
        <v>53</v>
      </c>
      <c r="D53" s="290" t="s">
        <v>48</v>
      </c>
      <c r="E53" s="291" t="s">
        <v>44</v>
      </c>
      <c r="F53" s="292">
        <v>6</v>
      </c>
      <c r="G53" s="292">
        <v>2000</v>
      </c>
      <c r="H53" s="293">
        <v>0.1</v>
      </c>
      <c r="I53" s="282" t="s">
        <v>288</v>
      </c>
      <c r="J53" s="284" t="str">
        <f>+"X =(" &amp;O53&amp;"Q-"&amp;P53&amp;")/Q)"</f>
        <v>X =(2Q-5)/Q)</v>
      </c>
      <c r="K53" s="114" t="s">
        <v>56</v>
      </c>
      <c r="L53" s="140">
        <v>1</v>
      </c>
      <c r="O53" s="11">
        <v>2</v>
      </c>
      <c r="P53" s="11">
        <v>5</v>
      </c>
      <c r="Q53" s="11" t="s">
        <v>97</v>
      </c>
      <c r="U53" s="11">
        <f t="shared" si="0"/>
        <v>53</v>
      </c>
      <c r="AB53" s="11">
        <v>1</v>
      </c>
      <c r="AC53" s="11">
        <v>0</v>
      </c>
      <c r="AD53" s="11" t="str">
        <f t="shared" si="2"/>
        <v>F</v>
      </c>
      <c r="AE53" s="11" t="str">
        <f t="shared" si="5"/>
        <v xml:space="preserve">massa [t] Q
</v>
      </c>
      <c r="AH53" s="11" t="str">
        <f t="shared" si="3"/>
        <v xml:space="preserve">massa [t] Q
</v>
      </c>
    </row>
    <row r="54" spans="1:34" ht="27.6">
      <c r="A54" s="327"/>
      <c r="B54" s="109"/>
      <c r="C54" s="84">
        <f t="shared" si="4"/>
        <v>54</v>
      </c>
      <c r="D54" s="290"/>
      <c r="E54" s="291"/>
      <c r="F54" s="292"/>
      <c r="G54" s="292"/>
      <c r="H54" s="293"/>
      <c r="I54" s="283" t="s">
        <v>251</v>
      </c>
      <c r="J54" s="285"/>
      <c r="K54" s="96" t="s">
        <v>290</v>
      </c>
      <c r="L54" s="140">
        <v>1.3</v>
      </c>
      <c r="U54" s="11">
        <f t="shared" si="0"/>
        <v>54</v>
      </c>
      <c r="AB54" s="11">
        <v>1</v>
      </c>
      <c r="AC54" s="11">
        <v>0</v>
      </c>
      <c r="AD54" s="11">
        <f t="shared" si="2"/>
        <v>0</v>
      </c>
      <c r="AE54" s="11" t="str">
        <f t="shared" si="5"/>
        <v xml:space="preserve">
</v>
      </c>
      <c r="AH54" s="11" t="str">
        <f t="shared" si="3"/>
        <v/>
      </c>
    </row>
    <row r="55" spans="1:34">
      <c r="A55" s="104">
        <v>36</v>
      </c>
      <c r="B55" s="108" t="s">
        <v>99</v>
      </c>
      <c r="C55" s="97">
        <f t="shared" si="4"/>
        <v>55</v>
      </c>
      <c r="D55" s="98" t="s">
        <v>48</v>
      </c>
      <c r="E55" s="99" t="s">
        <v>44</v>
      </c>
      <c r="F55" s="100">
        <v>4</v>
      </c>
      <c r="G55" s="100">
        <v>1000</v>
      </c>
      <c r="H55" s="131">
        <v>0.1</v>
      </c>
      <c r="I55" s="102" t="s">
        <v>288</v>
      </c>
      <c r="J55" s="101" t="str">
        <f>+"X =(" &amp;O55&amp;"Q-"&amp;P55&amp;")/Q)"</f>
        <v>X =(2Q-50)/Q)</v>
      </c>
      <c r="K55" s="266"/>
      <c r="L55" s="267"/>
      <c r="O55" s="11">
        <v>2</v>
      </c>
      <c r="P55" s="11">
        <v>50</v>
      </c>
      <c r="Q55" s="11" t="s">
        <v>87</v>
      </c>
      <c r="U55" s="11">
        <f t="shared" si="0"/>
        <v>55</v>
      </c>
      <c r="AB55" s="11">
        <v>1</v>
      </c>
      <c r="AC55" s="11">
        <v>0</v>
      </c>
      <c r="AD55" s="11" t="str">
        <f t="shared" si="2"/>
        <v>F</v>
      </c>
      <c r="AE55" s="11" t="str">
        <f t="shared" si="5"/>
        <v xml:space="preserve">massa [t] Q
</v>
      </c>
      <c r="AH55" s="11" t="str">
        <f t="shared" si="3"/>
        <v xml:space="preserve">massa [t] Q
</v>
      </c>
    </row>
    <row r="56" spans="1:34">
      <c r="A56" s="327">
        <v>37</v>
      </c>
      <c r="B56" s="109" t="s">
        <v>100</v>
      </c>
      <c r="C56" s="84">
        <f t="shared" si="4"/>
        <v>56</v>
      </c>
      <c r="D56" s="290" t="s">
        <v>48</v>
      </c>
      <c r="E56" s="291" t="s">
        <v>44</v>
      </c>
      <c r="F56" s="292">
        <v>7</v>
      </c>
      <c r="G56" s="292">
        <v>1000</v>
      </c>
      <c r="H56" s="293">
        <v>0.1</v>
      </c>
      <c r="I56" s="307" t="s">
        <v>288</v>
      </c>
      <c r="J56" s="284" t="str">
        <f>+"X =(" &amp;O56&amp;"Q-"&amp;P56&amp;")/Q)"</f>
        <v>X =(2Q-5)/Q)</v>
      </c>
      <c r="K56" s="114" t="s">
        <v>56</v>
      </c>
      <c r="L56" s="140">
        <v>1</v>
      </c>
      <c r="O56" s="11">
        <v>2</v>
      </c>
      <c r="P56" s="11">
        <v>5</v>
      </c>
      <c r="Q56" s="11" t="s">
        <v>97</v>
      </c>
      <c r="U56" s="11">
        <f t="shared" si="0"/>
        <v>56</v>
      </c>
      <c r="AB56" s="11">
        <v>1</v>
      </c>
      <c r="AC56" s="11">
        <v>0</v>
      </c>
      <c r="AD56" s="11" t="str">
        <f t="shared" si="2"/>
        <v>F</v>
      </c>
      <c r="AE56" s="11" t="str">
        <f t="shared" si="5"/>
        <v xml:space="preserve">massa [t] Q
</v>
      </c>
      <c r="AH56" s="11" t="str">
        <f t="shared" si="3"/>
        <v xml:space="preserve">massa [t] Q
</v>
      </c>
    </row>
    <row r="57" spans="1:34">
      <c r="A57" s="327"/>
      <c r="B57" s="109"/>
      <c r="C57" s="84">
        <f t="shared" si="4"/>
        <v>57</v>
      </c>
      <c r="D57" s="290"/>
      <c r="E57" s="291"/>
      <c r="F57" s="292"/>
      <c r="G57" s="292"/>
      <c r="H57" s="293"/>
      <c r="I57" s="308"/>
      <c r="J57" s="285"/>
      <c r="K57" s="96" t="s">
        <v>101</v>
      </c>
      <c r="L57" s="140">
        <v>1.5</v>
      </c>
      <c r="U57" s="11">
        <f t="shared" si="0"/>
        <v>57</v>
      </c>
      <c r="AB57" s="11">
        <v>1</v>
      </c>
      <c r="AC57" s="11">
        <v>0</v>
      </c>
      <c r="AD57" s="11">
        <f t="shared" si="2"/>
        <v>0</v>
      </c>
      <c r="AE57" s="11" t="str">
        <f t="shared" si="5"/>
        <v xml:space="preserve">
</v>
      </c>
      <c r="AH57" s="11" t="str">
        <f t="shared" si="3"/>
        <v/>
      </c>
    </row>
    <row r="58" spans="1:34">
      <c r="A58" s="328">
        <v>38</v>
      </c>
      <c r="B58" s="108" t="s">
        <v>102</v>
      </c>
      <c r="C58" s="97">
        <f t="shared" si="4"/>
        <v>58</v>
      </c>
      <c r="D58" s="276" t="s">
        <v>48</v>
      </c>
      <c r="E58" s="278" t="s">
        <v>44</v>
      </c>
      <c r="F58" s="280">
        <v>6</v>
      </c>
      <c r="G58" s="316">
        <v>1000</v>
      </c>
      <c r="H58" s="294">
        <v>0.1</v>
      </c>
      <c r="I58" s="303" t="s">
        <v>288</v>
      </c>
      <c r="J58" s="305" t="str">
        <f>+"X =(" &amp;O58&amp;"Q-"&amp;P58&amp;")/Q)"</f>
        <v>X =(2Q-5)/Q)</v>
      </c>
      <c r="K58" s="111" t="s">
        <v>56</v>
      </c>
      <c r="L58" s="141">
        <v>1</v>
      </c>
      <c r="O58" s="11">
        <v>2</v>
      </c>
      <c r="P58" s="11">
        <v>5</v>
      </c>
      <c r="Q58" s="11" t="s">
        <v>97</v>
      </c>
      <c r="U58" s="11">
        <f t="shared" si="0"/>
        <v>58</v>
      </c>
      <c r="AB58" s="11">
        <v>1</v>
      </c>
      <c r="AC58" s="11">
        <v>0</v>
      </c>
      <c r="AD58" s="11" t="str">
        <f t="shared" si="2"/>
        <v>F</v>
      </c>
      <c r="AE58" s="11" t="str">
        <f t="shared" si="5"/>
        <v xml:space="preserve">massa [t] Q
</v>
      </c>
      <c r="AH58" s="11" t="str">
        <f t="shared" si="3"/>
        <v xml:space="preserve">massa [t] Q
</v>
      </c>
    </row>
    <row r="59" spans="1:34">
      <c r="A59" s="328"/>
      <c r="B59" s="108"/>
      <c r="C59" s="97">
        <f t="shared" si="4"/>
        <v>59</v>
      </c>
      <c r="D59" s="276"/>
      <c r="E59" s="278"/>
      <c r="F59" s="280"/>
      <c r="G59" s="317"/>
      <c r="H59" s="294"/>
      <c r="I59" s="304" t="s">
        <v>251</v>
      </c>
      <c r="J59" s="306"/>
      <c r="K59" s="103" t="s">
        <v>103</v>
      </c>
      <c r="L59" s="141">
        <v>1.5</v>
      </c>
      <c r="U59" s="11">
        <f t="shared" si="0"/>
        <v>59</v>
      </c>
      <c r="AB59" s="11">
        <v>1</v>
      </c>
      <c r="AC59" s="11">
        <v>0</v>
      </c>
      <c r="AD59" s="11">
        <f t="shared" si="2"/>
        <v>0</v>
      </c>
      <c r="AE59" s="11" t="str">
        <f t="shared" si="5"/>
        <v xml:space="preserve">
</v>
      </c>
      <c r="AH59" s="11" t="str">
        <f t="shared" si="3"/>
        <v/>
      </c>
    </row>
    <row r="60" spans="1:34">
      <c r="A60" s="83">
        <v>39</v>
      </c>
      <c r="B60" s="109" t="s">
        <v>104</v>
      </c>
      <c r="C60" s="84">
        <f t="shared" si="4"/>
        <v>60</v>
      </c>
      <c r="D60" s="91" t="s">
        <v>48</v>
      </c>
      <c r="E60" s="92" t="s">
        <v>44</v>
      </c>
      <c r="F60" s="93">
        <v>8</v>
      </c>
      <c r="G60" s="93">
        <v>1000</v>
      </c>
      <c r="H60" s="132">
        <v>0.1</v>
      </c>
      <c r="I60" s="268"/>
      <c r="J60" s="269"/>
      <c r="K60" s="268"/>
      <c r="L60" s="269"/>
      <c r="U60" s="11">
        <f t="shared" si="0"/>
        <v>60</v>
      </c>
      <c r="AB60" s="11">
        <v>0</v>
      </c>
      <c r="AC60" s="11">
        <v>0</v>
      </c>
      <c r="AD60" s="11">
        <f t="shared" si="2"/>
        <v>0</v>
      </c>
      <c r="AE60" s="11">
        <f t="shared" si="5"/>
        <v>0</v>
      </c>
      <c r="AH60" s="11" t="str">
        <f t="shared" si="3"/>
        <v/>
      </c>
    </row>
    <row r="61" spans="1:34">
      <c r="A61" s="328">
        <v>40</v>
      </c>
      <c r="B61" s="108" t="s">
        <v>105</v>
      </c>
      <c r="C61" s="97">
        <f t="shared" si="4"/>
        <v>61</v>
      </c>
      <c r="D61" s="276" t="s">
        <v>48</v>
      </c>
      <c r="E61" s="278" t="s">
        <v>44</v>
      </c>
      <c r="F61" s="280">
        <v>8</v>
      </c>
      <c r="G61" s="280">
        <v>1000</v>
      </c>
      <c r="H61" s="294">
        <v>0.1</v>
      </c>
      <c r="I61" s="312" t="s">
        <v>288</v>
      </c>
      <c r="J61" s="314" t="str">
        <f>+"X =(" &amp;O61&amp;"Q-"&amp;P61&amp;")/Q)"</f>
        <v>X =(2Q-5)/Q)</v>
      </c>
      <c r="K61" s="111" t="s">
        <v>56</v>
      </c>
      <c r="L61" s="141">
        <v>0.6</v>
      </c>
      <c r="O61" s="11">
        <v>2</v>
      </c>
      <c r="P61" s="11">
        <v>5</v>
      </c>
      <c r="Q61" s="11" t="s">
        <v>97</v>
      </c>
      <c r="U61" s="11">
        <f t="shared" si="0"/>
        <v>61</v>
      </c>
      <c r="AB61" s="11">
        <v>1</v>
      </c>
      <c r="AC61" s="11">
        <v>0</v>
      </c>
      <c r="AD61" s="11" t="str">
        <f t="shared" si="2"/>
        <v>F</v>
      </c>
      <c r="AE61" s="11" t="str">
        <f t="shared" si="5"/>
        <v xml:space="preserve">massa [t] Q
</v>
      </c>
      <c r="AH61" s="11" t="str">
        <f t="shared" si="3"/>
        <v xml:space="preserve">massa [t] Q
</v>
      </c>
    </row>
    <row r="62" spans="1:34">
      <c r="A62" s="328"/>
      <c r="B62" s="108"/>
      <c r="C62" s="97">
        <f t="shared" si="4"/>
        <v>62</v>
      </c>
      <c r="D62" s="276"/>
      <c r="E62" s="278"/>
      <c r="F62" s="280"/>
      <c r="G62" s="280"/>
      <c r="H62" s="294"/>
      <c r="I62" s="313"/>
      <c r="J62" s="315"/>
      <c r="K62" s="103" t="s">
        <v>103</v>
      </c>
      <c r="L62" s="141">
        <v>1</v>
      </c>
      <c r="U62" s="11">
        <f t="shared" si="0"/>
        <v>62</v>
      </c>
      <c r="AB62" s="11">
        <v>1</v>
      </c>
      <c r="AC62" s="11">
        <v>0</v>
      </c>
      <c r="AD62" s="11">
        <f t="shared" si="2"/>
        <v>0</v>
      </c>
      <c r="AE62" s="11" t="str">
        <f t="shared" si="5"/>
        <v xml:space="preserve">
</v>
      </c>
      <c r="AH62" s="11" t="str">
        <f t="shared" si="3"/>
        <v/>
      </c>
    </row>
    <row r="63" spans="1:34">
      <c r="A63" s="155">
        <v>41</v>
      </c>
      <c r="B63" s="109" t="s">
        <v>106</v>
      </c>
      <c r="C63" s="84">
        <f t="shared" si="4"/>
        <v>63</v>
      </c>
      <c r="D63" s="188" t="s">
        <v>48</v>
      </c>
      <c r="E63" s="189" t="s">
        <v>44</v>
      </c>
      <c r="F63" s="189">
        <v>6</v>
      </c>
      <c r="G63" s="191">
        <v>2000</v>
      </c>
      <c r="H63" s="190">
        <v>0.1</v>
      </c>
      <c r="I63" s="94"/>
      <c r="J63" s="95"/>
      <c r="K63" s="299"/>
      <c r="L63" s="300"/>
      <c r="U63" s="11">
        <f t="shared" si="0"/>
        <v>63</v>
      </c>
      <c r="AB63" s="11">
        <v>0</v>
      </c>
      <c r="AC63" s="11">
        <v>0</v>
      </c>
      <c r="AD63" s="11">
        <f t="shared" si="2"/>
        <v>0</v>
      </c>
      <c r="AE63" s="11">
        <f t="shared" si="5"/>
        <v>0</v>
      </c>
      <c r="AH63" s="11" t="str">
        <f t="shared" si="3"/>
        <v/>
      </c>
    </row>
    <row r="64" spans="1:34">
      <c r="A64" s="104">
        <v>42</v>
      </c>
      <c r="B64" s="108" t="s">
        <v>107</v>
      </c>
      <c r="C64" s="97">
        <f t="shared" si="4"/>
        <v>64</v>
      </c>
      <c r="D64" s="98" t="s">
        <v>48</v>
      </c>
      <c r="E64" s="99" t="s">
        <v>44</v>
      </c>
      <c r="F64" s="100">
        <v>6</v>
      </c>
      <c r="G64" s="100">
        <v>1000</v>
      </c>
      <c r="H64" s="131">
        <v>0.1</v>
      </c>
      <c r="I64" s="266"/>
      <c r="J64" s="267"/>
      <c r="K64" s="266"/>
      <c r="L64" s="267"/>
      <c r="U64" s="11">
        <f t="shared" si="0"/>
        <v>64</v>
      </c>
      <c r="AB64" s="11">
        <v>0</v>
      </c>
      <c r="AC64" s="11">
        <v>0</v>
      </c>
      <c r="AD64" s="11">
        <f t="shared" si="2"/>
        <v>0</v>
      </c>
      <c r="AE64" s="11">
        <f t="shared" si="5"/>
        <v>0</v>
      </c>
      <c r="AH64" s="11" t="str">
        <f t="shared" si="3"/>
        <v/>
      </c>
    </row>
    <row r="65" spans="1:34">
      <c r="A65" s="327">
        <v>43</v>
      </c>
      <c r="B65" s="109" t="s">
        <v>108</v>
      </c>
      <c r="C65" s="84">
        <f t="shared" si="4"/>
        <v>65</v>
      </c>
      <c r="D65" s="290" t="s">
        <v>48</v>
      </c>
      <c r="E65" s="291" t="s">
        <v>44</v>
      </c>
      <c r="F65" s="292">
        <v>6</v>
      </c>
      <c r="G65" s="292">
        <v>1000</v>
      </c>
      <c r="H65" s="293">
        <v>0.1</v>
      </c>
      <c r="I65" s="282" t="s">
        <v>288</v>
      </c>
      <c r="J65" s="284" t="str">
        <f>+"X =(" &amp;O65&amp;"Q-"&amp;P65&amp;")/Q)"</f>
        <v>X =(2Q-5)/Q)</v>
      </c>
      <c r="K65" s="114" t="s">
        <v>56</v>
      </c>
      <c r="L65" s="140">
        <v>0.6</v>
      </c>
      <c r="O65" s="11">
        <v>2</v>
      </c>
      <c r="P65" s="11">
        <v>5</v>
      </c>
      <c r="Q65" s="11" t="s">
        <v>97</v>
      </c>
      <c r="U65" s="11">
        <f t="shared" si="0"/>
        <v>65</v>
      </c>
      <c r="AB65" s="11">
        <v>0</v>
      </c>
      <c r="AC65" s="11">
        <v>0</v>
      </c>
      <c r="AD65" s="11" t="str">
        <f t="shared" si="2"/>
        <v>F</v>
      </c>
      <c r="AE65" s="11" t="str">
        <f t="shared" si="5"/>
        <v>massa [t] Q</v>
      </c>
      <c r="AH65" s="11" t="str">
        <f t="shared" si="3"/>
        <v>massa [t] Q</v>
      </c>
    </row>
    <row r="66" spans="1:34">
      <c r="A66" s="327"/>
      <c r="B66" s="109"/>
      <c r="C66" s="84">
        <f t="shared" si="4"/>
        <v>66</v>
      </c>
      <c r="D66" s="290"/>
      <c r="E66" s="291"/>
      <c r="F66" s="292"/>
      <c r="G66" s="292"/>
      <c r="H66" s="293"/>
      <c r="I66" s="283"/>
      <c r="J66" s="285"/>
      <c r="K66" s="96" t="s">
        <v>103</v>
      </c>
      <c r="L66" s="140">
        <v>1</v>
      </c>
      <c r="U66" s="11">
        <f t="shared" si="0"/>
        <v>66</v>
      </c>
      <c r="AB66" s="11">
        <v>0</v>
      </c>
      <c r="AC66" s="11">
        <v>0</v>
      </c>
      <c r="AD66" s="11">
        <f t="shared" si="2"/>
        <v>0</v>
      </c>
      <c r="AE66" s="11">
        <f t="shared" ref="AE66:AE97" si="6">+IF(AB66=1,I66 &amp; CHAR(10) &amp;  "",I66)</f>
        <v>0</v>
      </c>
      <c r="AH66" s="11" t="str">
        <f t="shared" si="3"/>
        <v/>
      </c>
    </row>
    <row r="67" spans="1:34">
      <c r="A67" s="328">
        <v>44</v>
      </c>
      <c r="B67" s="108" t="s">
        <v>109</v>
      </c>
      <c r="C67" s="97">
        <f t="shared" si="4"/>
        <v>67</v>
      </c>
      <c r="D67" s="276" t="s">
        <v>48</v>
      </c>
      <c r="E67" s="278" t="s">
        <v>44</v>
      </c>
      <c r="F67" s="280">
        <v>6</v>
      </c>
      <c r="G67" s="280">
        <v>1000</v>
      </c>
      <c r="H67" s="294">
        <v>0.1</v>
      </c>
      <c r="I67" s="102" t="s">
        <v>288</v>
      </c>
      <c r="J67" s="301" t="str">
        <f>+"X =(" &amp;O67&amp;"Q-"&amp;P67&amp;")/Q)"</f>
        <v>X =(2Q-5)/Q)</v>
      </c>
      <c r="K67" s="111" t="s">
        <v>56</v>
      </c>
      <c r="L67" s="141">
        <v>0.6</v>
      </c>
      <c r="O67" s="11">
        <v>2</v>
      </c>
      <c r="P67" s="11">
        <v>5</v>
      </c>
      <c r="Q67" s="11" t="s">
        <v>97</v>
      </c>
      <c r="U67" s="11">
        <f t="shared" ref="U67:U112" si="7">+C67</f>
        <v>67</v>
      </c>
      <c r="AB67" s="11">
        <v>1</v>
      </c>
      <c r="AC67" s="11">
        <v>0</v>
      </c>
      <c r="AD67" s="11" t="str">
        <f t="shared" ref="AD67:AD114" si="8">+IF(O67="",J67,"F")</f>
        <v>F</v>
      </c>
      <c r="AE67" s="11" t="str">
        <f t="shared" si="6"/>
        <v xml:space="preserve">massa [t] Q
</v>
      </c>
      <c r="AH67" s="11" t="str">
        <f t="shared" ref="AH67:AH114" si="9">+IF(I67="","",AE67)</f>
        <v xml:space="preserve">massa [t] Q
</v>
      </c>
    </row>
    <row r="68" spans="1:34">
      <c r="A68" s="328"/>
      <c r="B68" s="108"/>
      <c r="C68" s="97">
        <f t="shared" ref="C68:C115" si="10">+ROW(A68)</f>
        <v>68</v>
      </c>
      <c r="D68" s="276"/>
      <c r="E68" s="278"/>
      <c r="F68" s="280"/>
      <c r="G68" s="280"/>
      <c r="H68" s="294"/>
      <c r="I68" s="102" t="s">
        <v>251</v>
      </c>
      <c r="J68" s="302"/>
      <c r="K68" s="103" t="s">
        <v>103</v>
      </c>
      <c r="L68" s="141">
        <v>1</v>
      </c>
      <c r="U68" s="11">
        <f t="shared" si="7"/>
        <v>68</v>
      </c>
      <c r="AB68" s="11">
        <v>1</v>
      </c>
      <c r="AC68" s="11">
        <v>0</v>
      </c>
      <c r="AD68" s="11">
        <f t="shared" si="8"/>
        <v>0</v>
      </c>
      <c r="AE68" s="11" t="str">
        <f t="shared" si="6"/>
        <v xml:space="preserve">
</v>
      </c>
      <c r="AH68" s="11" t="str">
        <f t="shared" si="9"/>
        <v/>
      </c>
    </row>
    <row r="69" spans="1:34">
      <c r="A69" s="83">
        <v>45</v>
      </c>
      <c r="B69" s="109" t="s">
        <v>110</v>
      </c>
      <c r="C69" s="84">
        <f t="shared" si="10"/>
        <v>69</v>
      </c>
      <c r="D69" s="91" t="s">
        <v>48</v>
      </c>
      <c r="E69" s="92" t="s">
        <v>44</v>
      </c>
      <c r="F69" s="93">
        <v>6</v>
      </c>
      <c r="G69" s="93">
        <v>1000</v>
      </c>
      <c r="H69" s="132">
        <v>0.1</v>
      </c>
      <c r="I69" s="115"/>
      <c r="J69" s="95"/>
      <c r="K69" s="114"/>
      <c r="L69" s="140"/>
      <c r="U69" s="11">
        <f t="shared" si="7"/>
        <v>69</v>
      </c>
      <c r="AB69" s="11">
        <v>0</v>
      </c>
      <c r="AC69" s="11">
        <v>0</v>
      </c>
      <c r="AD69" s="11">
        <f t="shared" si="8"/>
        <v>0</v>
      </c>
      <c r="AE69" s="11">
        <f t="shared" si="6"/>
        <v>0</v>
      </c>
      <c r="AH69" s="11" t="str">
        <f t="shared" si="9"/>
        <v/>
      </c>
    </row>
    <row r="70" spans="1:34">
      <c r="A70" s="104">
        <v>46</v>
      </c>
      <c r="B70" s="108" t="s">
        <v>111</v>
      </c>
      <c r="C70" s="97">
        <f t="shared" si="10"/>
        <v>70</v>
      </c>
      <c r="D70" s="98" t="s">
        <v>48</v>
      </c>
      <c r="E70" s="99" t="s">
        <v>44</v>
      </c>
      <c r="F70" s="100">
        <v>4</v>
      </c>
      <c r="G70" s="100">
        <v>300</v>
      </c>
      <c r="H70" s="131">
        <v>0.1</v>
      </c>
      <c r="I70" s="102" t="s">
        <v>288</v>
      </c>
      <c r="J70" s="101" t="str">
        <f>+"X =(" &amp;O70&amp;"Q-"&amp;P70&amp;")/Q)"</f>
        <v>X =(2Q-50)/Q)</v>
      </c>
      <c r="K70" s="266"/>
      <c r="L70" s="267"/>
      <c r="O70" s="11">
        <v>2</v>
      </c>
      <c r="P70" s="11">
        <v>50</v>
      </c>
      <c r="Q70" s="11" t="s">
        <v>87</v>
      </c>
      <c r="U70" s="11">
        <f t="shared" si="7"/>
        <v>70</v>
      </c>
      <c r="AB70" s="11">
        <v>1</v>
      </c>
      <c r="AC70" s="11">
        <v>0</v>
      </c>
      <c r="AD70" s="11" t="str">
        <f t="shared" si="8"/>
        <v>F</v>
      </c>
      <c r="AE70" s="11" t="str">
        <f t="shared" si="6"/>
        <v xml:space="preserve">massa [t] Q
</v>
      </c>
      <c r="AH70" s="11" t="str">
        <f t="shared" si="9"/>
        <v xml:space="preserve">massa [t] Q
</v>
      </c>
    </row>
    <row r="71" spans="1:34">
      <c r="A71" s="327">
        <v>47</v>
      </c>
      <c r="B71" s="109" t="s">
        <v>112</v>
      </c>
      <c r="C71" s="84">
        <f t="shared" si="10"/>
        <v>71</v>
      </c>
      <c r="D71" s="290" t="s">
        <v>48</v>
      </c>
      <c r="E71" s="291" t="s">
        <v>44</v>
      </c>
      <c r="F71" s="292">
        <v>6</v>
      </c>
      <c r="G71" s="292">
        <v>1000</v>
      </c>
      <c r="H71" s="293">
        <v>0.1</v>
      </c>
      <c r="I71" s="94" t="s">
        <v>288</v>
      </c>
      <c r="J71" s="284" t="str">
        <f>+"X =(" &amp;O71&amp;"Q-"&amp;P71&amp;")/Q)"</f>
        <v>X =(2Q-10)/Q)</v>
      </c>
      <c r="K71" s="114" t="s">
        <v>56</v>
      </c>
      <c r="L71" s="140">
        <v>0.6</v>
      </c>
      <c r="O71" s="11">
        <v>2</v>
      </c>
      <c r="P71" s="11">
        <v>10</v>
      </c>
      <c r="Q71" s="11" t="s">
        <v>114</v>
      </c>
      <c r="U71" s="11">
        <f t="shared" si="7"/>
        <v>71</v>
      </c>
      <c r="AB71" s="11">
        <v>1</v>
      </c>
      <c r="AC71" s="11">
        <v>0</v>
      </c>
      <c r="AD71" s="11" t="str">
        <f t="shared" si="8"/>
        <v>F</v>
      </c>
      <c r="AE71" s="11" t="str">
        <f t="shared" si="6"/>
        <v xml:space="preserve">massa [t] Q
</v>
      </c>
      <c r="AH71" s="11" t="str">
        <f t="shared" si="9"/>
        <v xml:space="preserve">massa [t] Q
</v>
      </c>
    </row>
    <row r="72" spans="1:34">
      <c r="A72" s="327"/>
      <c r="B72" s="109"/>
      <c r="C72" s="84">
        <f t="shared" si="10"/>
        <v>72</v>
      </c>
      <c r="D72" s="290"/>
      <c r="E72" s="291"/>
      <c r="F72" s="292"/>
      <c r="G72" s="292"/>
      <c r="H72" s="293"/>
      <c r="I72" s="94" t="s">
        <v>251</v>
      </c>
      <c r="J72" s="285"/>
      <c r="K72" s="96" t="s">
        <v>113</v>
      </c>
      <c r="L72" s="140">
        <v>1</v>
      </c>
      <c r="U72" s="11">
        <f t="shared" si="7"/>
        <v>72</v>
      </c>
      <c r="AB72" s="11">
        <v>0</v>
      </c>
      <c r="AC72" s="11">
        <v>0</v>
      </c>
      <c r="AD72" s="11">
        <f t="shared" si="8"/>
        <v>0</v>
      </c>
      <c r="AE72" s="11" t="str">
        <f t="shared" si="6"/>
        <v/>
      </c>
      <c r="AH72" s="11" t="str">
        <f t="shared" si="9"/>
        <v/>
      </c>
    </row>
    <row r="73" spans="1:34">
      <c r="A73" s="104">
        <v>48</v>
      </c>
      <c r="B73" s="108" t="s">
        <v>115</v>
      </c>
      <c r="C73" s="97">
        <f t="shared" si="10"/>
        <v>73</v>
      </c>
      <c r="D73" s="98" t="s">
        <v>116</v>
      </c>
      <c r="E73" s="99" t="s">
        <v>117</v>
      </c>
      <c r="F73" s="100">
        <v>30</v>
      </c>
      <c r="G73" s="272"/>
      <c r="H73" s="273"/>
      <c r="I73" s="266"/>
      <c r="J73" s="267"/>
      <c r="K73" s="266"/>
      <c r="L73" s="267"/>
      <c r="U73" s="11">
        <f t="shared" si="7"/>
        <v>73</v>
      </c>
      <c r="AB73" s="11">
        <v>0</v>
      </c>
      <c r="AC73" s="11">
        <v>0</v>
      </c>
      <c r="AD73" s="11">
        <f t="shared" si="8"/>
        <v>0</v>
      </c>
      <c r="AE73" s="11">
        <f t="shared" si="6"/>
        <v>0</v>
      </c>
      <c r="AH73" s="11" t="str">
        <f t="shared" si="9"/>
        <v/>
      </c>
    </row>
    <row r="74" spans="1:34" ht="27.6">
      <c r="A74" s="327">
        <v>49</v>
      </c>
      <c r="B74" s="109" t="s">
        <v>118</v>
      </c>
      <c r="C74" s="84">
        <f t="shared" si="10"/>
        <v>74</v>
      </c>
      <c r="D74" s="290" t="s">
        <v>116</v>
      </c>
      <c r="E74" s="291" t="s">
        <v>119</v>
      </c>
      <c r="F74" s="292">
        <v>4</v>
      </c>
      <c r="G74" s="295"/>
      <c r="H74" s="296"/>
      <c r="I74" s="115" t="s">
        <v>120</v>
      </c>
      <c r="J74" s="95">
        <v>0.6</v>
      </c>
      <c r="K74" s="286"/>
      <c r="L74" s="287"/>
      <c r="U74" s="11">
        <f t="shared" si="7"/>
        <v>74</v>
      </c>
      <c r="AB74" s="11">
        <v>0</v>
      </c>
      <c r="AC74" s="11">
        <v>0</v>
      </c>
      <c r="AD74" s="11">
        <f t="shared" si="8"/>
        <v>0.6</v>
      </c>
      <c r="AE74" s="11" t="str">
        <f t="shared" si="6"/>
        <v>Isolato o all'esterno</v>
      </c>
      <c r="AH74" s="11" t="str">
        <f t="shared" si="9"/>
        <v>Isolato o all'esterno</v>
      </c>
    </row>
    <row r="75" spans="1:34" ht="27.6">
      <c r="A75" s="327"/>
      <c r="B75" s="109"/>
      <c r="C75" s="84">
        <f t="shared" si="10"/>
        <v>75</v>
      </c>
      <c r="D75" s="290"/>
      <c r="E75" s="291"/>
      <c r="F75" s="292"/>
      <c r="G75" s="297"/>
      <c r="H75" s="298"/>
      <c r="I75" s="94" t="s">
        <v>291</v>
      </c>
      <c r="J75" s="95">
        <v>1</v>
      </c>
      <c r="K75" s="288"/>
      <c r="L75" s="289"/>
      <c r="U75" s="11">
        <f t="shared" si="7"/>
        <v>75</v>
      </c>
      <c r="AB75" s="11">
        <v>0</v>
      </c>
      <c r="AC75" s="11">
        <v>0</v>
      </c>
      <c r="AD75" s="11">
        <f t="shared" si="8"/>
        <v>1</v>
      </c>
      <c r="AE75" s="11" t="str">
        <f t="shared" si="6"/>
        <v>All'intero di edificio</v>
      </c>
      <c r="AH75" s="11" t="str">
        <f t="shared" si="9"/>
        <v>All'intero di edificio</v>
      </c>
    </row>
    <row r="76" spans="1:34">
      <c r="A76" s="104">
        <v>50</v>
      </c>
      <c r="B76" s="108" t="s">
        <v>122</v>
      </c>
      <c r="C76" s="97">
        <f t="shared" si="10"/>
        <v>76</v>
      </c>
      <c r="D76" s="98" t="s">
        <v>48</v>
      </c>
      <c r="E76" s="99" t="s">
        <v>44</v>
      </c>
      <c r="F76" s="100">
        <v>6</v>
      </c>
      <c r="G76" s="100">
        <v>1000</v>
      </c>
      <c r="H76" s="131">
        <v>0.1</v>
      </c>
      <c r="I76" s="266"/>
      <c r="J76" s="267"/>
      <c r="K76" s="266"/>
      <c r="L76" s="267"/>
      <c r="U76" s="11">
        <f t="shared" si="7"/>
        <v>76</v>
      </c>
      <c r="AB76" s="11">
        <v>0</v>
      </c>
      <c r="AC76" s="11">
        <v>0</v>
      </c>
      <c r="AD76" s="11">
        <f t="shared" si="8"/>
        <v>0</v>
      </c>
      <c r="AE76" s="11">
        <f t="shared" si="6"/>
        <v>0</v>
      </c>
      <c r="AH76" s="11" t="str">
        <f t="shared" si="9"/>
        <v/>
      </c>
    </row>
    <row r="77" spans="1:34">
      <c r="A77" s="83">
        <v>51</v>
      </c>
      <c r="B77" s="109" t="s">
        <v>123</v>
      </c>
      <c r="C77" s="84">
        <f t="shared" si="10"/>
        <v>77</v>
      </c>
      <c r="D77" s="91" t="s">
        <v>48</v>
      </c>
      <c r="E77" s="92" t="s">
        <v>44</v>
      </c>
      <c r="F77" s="93">
        <v>6</v>
      </c>
      <c r="G77" s="93">
        <v>1000</v>
      </c>
      <c r="H77" s="132">
        <v>0.2</v>
      </c>
      <c r="I77" s="268"/>
      <c r="J77" s="269"/>
      <c r="K77" s="268"/>
      <c r="L77" s="269"/>
      <c r="U77" s="11">
        <f t="shared" si="7"/>
        <v>77</v>
      </c>
      <c r="AB77" s="11">
        <v>0</v>
      </c>
      <c r="AC77" s="11">
        <v>0</v>
      </c>
      <c r="AD77" s="11">
        <f t="shared" si="8"/>
        <v>0</v>
      </c>
      <c r="AE77" s="11">
        <f t="shared" si="6"/>
        <v>0</v>
      </c>
      <c r="AH77" s="11" t="str">
        <f t="shared" si="9"/>
        <v/>
      </c>
    </row>
    <row r="78" spans="1:34" ht="17.25" customHeight="1">
      <c r="A78" s="104">
        <v>52</v>
      </c>
      <c r="B78" s="108" t="s">
        <v>124</v>
      </c>
      <c r="C78" s="97">
        <f t="shared" si="10"/>
        <v>78</v>
      </c>
      <c r="D78" s="98" t="s">
        <v>48</v>
      </c>
      <c r="E78" s="99" t="s">
        <v>44</v>
      </c>
      <c r="F78" s="100">
        <v>8</v>
      </c>
      <c r="G78" s="100">
        <v>1000</v>
      </c>
      <c r="H78" s="131">
        <v>0.1</v>
      </c>
      <c r="I78" s="266"/>
      <c r="J78" s="267"/>
      <c r="K78" s="266"/>
      <c r="L78" s="267"/>
      <c r="U78" s="11">
        <f t="shared" si="7"/>
        <v>78</v>
      </c>
      <c r="AB78" s="11">
        <v>0</v>
      </c>
      <c r="AC78" s="11">
        <v>0</v>
      </c>
      <c r="AD78" s="11">
        <f t="shared" si="8"/>
        <v>0</v>
      </c>
      <c r="AE78" s="11">
        <f t="shared" si="6"/>
        <v>0</v>
      </c>
      <c r="AH78" s="11" t="str">
        <f t="shared" si="9"/>
        <v/>
      </c>
    </row>
    <row r="79" spans="1:34" ht="27.6">
      <c r="A79" s="327">
        <v>53</v>
      </c>
      <c r="B79" s="109" t="s">
        <v>125</v>
      </c>
      <c r="C79" s="84">
        <f t="shared" si="10"/>
        <v>79</v>
      </c>
      <c r="D79" s="290" t="s">
        <v>48</v>
      </c>
      <c r="E79" s="291" t="s">
        <v>44</v>
      </c>
      <c r="F79" s="292">
        <v>6</v>
      </c>
      <c r="G79" s="292">
        <v>1000</v>
      </c>
      <c r="H79" s="293">
        <v>0.1</v>
      </c>
      <c r="I79" s="115" t="s">
        <v>126</v>
      </c>
      <c r="J79" s="95">
        <v>1</v>
      </c>
      <c r="K79" s="286"/>
      <c r="L79" s="287"/>
      <c r="U79" s="11">
        <f t="shared" si="7"/>
        <v>79</v>
      </c>
      <c r="AB79" s="11">
        <v>0</v>
      </c>
      <c r="AC79" s="11">
        <v>0</v>
      </c>
      <c r="AD79" s="11">
        <f t="shared" si="8"/>
        <v>1</v>
      </c>
      <c r="AE79" s="11" t="str">
        <f t="shared" si="6"/>
        <v>Solo Veicoli a motore</v>
      </c>
      <c r="AH79" s="11" t="str">
        <f t="shared" si="9"/>
        <v>Solo Veicoli a motore</v>
      </c>
    </row>
    <row r="80" spans="1:34" ht="27.6">
      <c r="A80" s="327"/>
      <c r="B80" s="109"/>
      <c r="C80" s="84">
        <f t="shared" si="10"/>
        <v>80</v>
      </c>
      <c r="D80" s="290"/>
      <c r="E80" s="291"/>
      <c r="F80" s="292"/>
      <c r="G80" s="292"/>
      <c r="H80" s="293"/>
      <c r="I80" s="94" t="s">
        <v>127</v>
      </c>
      <c r="J80" s="95">
        <v>0.6</v>
      </c>
      <c r="K80" s="288"/>
      <c r="L80" s="289"/>
      <c r="U80" s="11">
        <f t="shared" si="7"/>
        <v>80</v>
      </c>
      <c r="AB80" s="11">
        <v>0</v>
      </c>
      <c r="AC80" s="11">
        <v>0</v>
      </c>
      <c r="AD80" s="11">
        <f t="shared" si="8"/>
        <v>0.6</v>
      </c>
      <c r="AE80" s="11" t="str">
        <f t="shared" si="6"/>
        <v>Aeromobili o treni</v>
      </c>
      <c r="AH80" s="11" t="str">
        <f t="shared" si="9"/>
        <v>Aeromobili o treni</v>
      </c>
    </row>
    <row r="81" spans="1:34">
      <c r="A81" s="104">
        <v>54</v>
      </c>
      <c r="B81" s="108" t="s">
        <v>128</v>
      </c>
      <c r="C81" s="97">
        <f t="shared" si="10"/>
        <v>81</v>
      </c>
      <c r="D81" s="98" t="s">
        <v>48</v>
      </c>
      <c r="E81" s="99" t="s">
        <v>44</v>
      </c>
      <c r="F81" s="100">
        <v>6</v>
      </c>
      <c r="G81" s="100">
        <v>1000</v>
      </c>
      <c r="H81" s="131">
        <v>0.1</v>
      </c>
      <c r="I81" s="266"/>
      <c r="J81" s="267"/>
      <c r="K81" s="266"/>
      <c r="L81" s="267"/>
      <c r="U81" s="11">
        <f t="shared" si="7"/>
        <v>81</v>
      </c>
      <c r="AB81" s="11">
        <v>0</v>
      </c>
      <c r="AC81" s="11">
        <v>0</v>
      </c>
      <c r="AD81" s="11">
        <f t="shared" si="8"/>
        <v>0</v>
      </c>
      <c r="AE81" s="11">
        <f t="shared" si="6"/>
        <v>0</v>
      </c>
      <c r="AH81" s="11" t="str">
        <f t="shared" si="9"/>
        <v/>
      </c>
    </row>
    <row r="82" spans="1:34">
      <c r="A82" s="83">
        <v>55</v>
      </c>
      <c r="B82" s="109" t="s">
        <v>129</v>
      </c>
      <c r="C82" s="84">
        <f t="shared" si="10"/>
        <v>82</v>
      </c>
      <c r="D82" s="91" t="s">
        <v>48</v>
      </c>
      <c r="E82" s="92" t="s">
        <v>44</v>
      </c>
      <c r="F82" s="93">
        <v>6</v>
      </c>
      <c r="G82" s="93">
        <v>1000</v>
      </c>
      <c r="H82" s="132">
        <v>0.1</v>
      </c>
      <c r="I82" s="268"/>
      <c r="J82" s="269"/>
      <c r="K82" s="268"/>
      <c r="L82" s="269"/>
      <c r="U82" s="11">
        <f t="shared" si="7"/>
        <v>82</v>
      </c>
      <c r="AB82" s="11">
        <v>0</v>
      </c>
      <c r="AC82" s="11">
        <v>0</v>
      </c>
      <c r="AD82" s="11">
        <f t="shared" si="8"/>
        <v>0</v>
      </c>
      <c r="AE82" s="11">
        <f t="shared" si="6"/>
        <v>0</v>
      </c>
      <c r="AH82" s="11" t="str">
        <f t="shared" si="9"/>
        <v/>
      </c>
    </row>
    <row r="83" spans="1:34">
      <c r="A83" s="104">
        <v>56</v>
      </c>
      <c r="B83" s="108" t="s">
        <v>130</v>
      </c>
      <c r="C83" s="97">
        <f t="shared" si="10"/>
        <v>83</v>
      </c>
      <c r="D83" s="98" t="s">
        <v>48</v>
      </c>
      <c r="E83" s="99" t="s">
        <v>44</v>
      </c>
      <c r="F83" s="100">
        <v>6</v>
      </c>
      <c r="G83" s="100">
        <v>1000</v>
      </c>
      <c r="H83" s="131">
        <v>0.1</v>
      </c>
      <c r="I83" s="266"/>
      <c r="J83" s="267"/>
      <c r="K83" s="266"/>
      <c r="L83" s="267"/>
      <c r="U83" s="11">
        <f t="shared" si="7"/>
        <v>83</v>
      </c>
      <c r="AB83" s="11">
        <v>0</v>
      </c>
      <c r="AC83" s="11">
        <v>0</v>
      </c>
      <c r="AD83" s="11">
        <f t="shared" si="8"/>
        <v>0</v>
      </c>
      <c r="AE83" s="11">
        <f t="shared" si="6"/>
        <v>0</v>
      </c>
      <c r="AH83" s="11" t="str">
        <f t="shared" si="9"/>
        <v/>
      </c>
    </row>
    <row r="84" spans="1:34">
      <c r="A84" s="83">
        <v>57</v>
      </c>
      <c r="B84" s="109" t="s">
        <v>131</v>
      </c>
      <c r="C84" s="84">
        <f t="shared" si="10"/>
        <v>84</v>
      </c>
      <c r="D84" s="91" t="s">
        <v>48</v>
      </c>
      <c r="E84" s="92" t="s">
        <v>44</v>
      </c>
      <c r="F84" s="93">
        <v>6</v>
      </c>
      <c r="G84" s="93">
        <v>1000</v>
      </c>
      <c r="H84" s="132">
        <v>0.1</v>
      </c>
      <c r="I84" s="268"/>
      <c r="J84" s="269"/>
      <c r="K84" s="268"/>
      <c r="L84" s="269"/>
      <c r="U84" s="11">
        <f t="shared" si="7"/>
        <v>84</v>
      </c>
      <c r="AB84" s="11">
        <v>0</v>
      </c>
      <c r="AC84" s="11">
        <v>0</v>
      </c>
      <c r="AD84" s="11">
        <f t="shared" si="8"/>
        <v>0</v>
      </c>
      <c r="AE84" s="11">
        <f t="shared" si="6"/>
        <v>0</v>
      </c>
      <c r="AH84" s="11" t="str">
        <f t="shared" si="9"/>
        <v/>
      </c>
    </row>
    <row r="85" spans="1:34">
      <c r="A85" s="328">
        <v>58</v>
      </c>
      <c r="B85" s="108" t="s">
        <v>132</v>
      </c>
      <c r="C85" s="97">
        <f t="shared" si="10"/>
        <v>85</v>
      </c>
      <c r="D85" s="276" t="s">
        <v>48</v>
      </c>
      <c r="E85" s="278" t="s">
        <v>44</v>
      </c>
      <c r="F85" s="280">
        <v>6</v>
      </c>
      <c r="G85" s="280">
        <v>1000</v>
      </c>
      <c r="H85" s="294">
        <v>0.1</v>
      </c>
      <c r="I85" s="112" t="s">
        <v>230</v>
      </c>
      <c r="J85" s="101">
        <v>1</v>
      </c>
      <c r="K85" s="258"/>
      <c r="L85" s="259"/>
      <c r="U85" s="11">
        <f t="shared" si="7"/>
        <v>85</v>
      </c>
      <c r="AB85" s="11">
        <v>0</v>
      </c>
      <c r="AC85" s="11">
        <v>0</v>
      </c>
      <c r="AD85" s="11">
        <f t="shared" si="8"/>
        <v>1</v>
      </c>
      <c r="AE85" s="11" t="str">
        <f t="shared" si="6"/>
        <v>Categoria B</v>
      </c>
      <c r="AH85" s="11" t="str">
        <f t="shared" si="9"/>
        <v>Categoria B</v>
      </c>
    </row>
    <row r="86" spans="1:34">
      <c r="A86" s="328"/>
      <c r="B86" s="108"/>
      <c r="C86" s="97">
        <f t="shared" si="10"/>
        <v>86</v>
      </c>
      <c r="D86" s="276"/>
      <c r="E86" s="278"/>
      <c r="F86" s="280"/>
      <c r="G86" s="280"/>
      <c r="H86" s="294"/>
      <c r="I86" s="102" t="s">
        <v>229</v>
      </c>
      <c r="J86" s="101">
        <v>1.5</v>
      </c>
      <c r="K86" s="270"/>
      <c r="L86" s="271"/>
      <c r="U86" s="11">
        <f t="shared" si="7"/>
        <v>86</v>
      </c>
      <c r="AB86" s="11">
        <v>0</v>
      </c>
      <c r="AC86" s="11">
        <v>0</v>
      </c>
      <c r="AD86" s="11">
        <f t="shared" si="8"/>
        <v>1.5</v>
      </c>
      <c r="AE86" s="11" t="str">
        <f t="shared" si="6"/>
        <v>Categoria A</v>
      </c>
      <c r="AH86" s="11" t="str">
        <f t="shared" si="9"/>
        <v>Categoria A</v>
      </c>
    </row>
    <row r="87" spans="1:34">
      <c r="A87" s="177">
        <v>59</v>
      </c>
      <c r="B87" s="178" t="s">
        <v>133</v>
      </c>
      <c r="C87" s="179">
        <f t="shared" si="10"/>
        <v>87</v>
      </c>
      <c r="D87" s="180" t="s">
        <v>48</v>
      </c>
      <c r="E87" s="181" t="s">
        <v>44</v>
      </c>
      <c r="F87" s="182">
        <v>4</v>
      </c>
      <c r="G87" s="182">
        <v>1000</v>
      </c>
      <c r="H87" s="192">
        <v>0.1</v>
      </c>
      <c r="I87" s="268"/>
      <c r="J87" s="269"/>
      <c r="K87" s="268"/>
      <c r="L87" s="269"/>
      <c r="U87" s="11">
        <f t="shared" si="7"/>
        <v>87</v>
      </c>
      <c r="AB87" s="11">
        <v>0</v>
      </c>
      <c r="AC87" s="11">
        <v>0</v>
      </c>
      <c r="AD87" s="11">
        <f t="shared" si="8"/>
        <v>0</v>
      </c>
      <c r="AE87" s="11">
        <f t="shared" si="6"/>
        <v>0</v>
      </c>
      <c r="AH87" s="11" t="str">
        <f t="shared" si="9"/>
        <v/>
      </c>
    </row>
    <row r="88" spans="1:34">
      <c r="A88" s="171">
        <v>60</v>
      </c>
      <c r="B88" s="172" t="s">
        <v>134</v>
      </c>
      <c r="C88" s="173">
        <f t="shared" si="10"/>
        <v>88</v>
      </c>
      <c r="D88" s="174" t="s">
        <v>48</v>
      </c>
      <c r="E88" s="175" t="s">
        <v>44</v>
      </c>
      <c r="F88" s="176">
        <v>6</v>
      </c>
      <c r="G88" s="176">
        <v>1000</v>
      </c>
      <c r="H88" s="193">
        <v>0.1</v>
      </c>
      <c r="I88" s="266"/>
      <c r="J88" s="267"/>
      <c r="K88" s="266"/>
      <c r="L88" s="267"/>
      <c r="U88" s="11">
        <f t="shared" si="7"/>
        <v>88</v>
      </c>
      <c r="AB88" s="11">
        <v>0</v>
      </c>
      <c r="AC88" s="11">
        <v>0</v>
      </c>
      <c r="AD88" s="11">
        <f t="shared" si="8"/>
        <v>0</v>
      </c>
      <c r="AE88" s="11">
        <f t="shared" si="6"/>
        <v>0</v>
      </c>
      <c r="AH88" s="11" t="str">
        <f t="shared" si="9"/>
        <v/>
      </c>
    </row>
    <row r="89" spans="1:34">
      <c r="A89" s="177">
        <v>61</v>
      </c>
      <c r="B89" s="178" t="s">
        <v>135</v>
      </c>
      <c r="C89" s="179">
        <f t="shared" si="10"/>
        <v>89</v>
      </c>
      <c r="D89" s="180" t="s">
        <v>48</v>
      </c>
      <c r="E89" s="181" t="s">
        <v>44</v>
      </c>
      <c r="F89" s="182">
        <v>6</v>
      </c>
      <c r="G89" s="182">
        <v>1000</v>
      </c>
      <c r="H89" s="192">
        <v>0.1</v>
      </c>
      <c r="I89" s="268"/>
      <c r="J89" s="269"/>
      <c r="K89" s="268"/>
      <c r="L89" s="269"/>
      <c r="U89" s="11">
        <f t="shared" si="7"/>
        <v>89</v>
      </c>
      <c r="AB89" s="11">
        <v>0</v>
      </c>
      <c r="AC89" s="11">
        <v>0</v>
      </c>
      <c r="AD89" s="11">
        <f t="shared" si="8"/>
        <v>0</v>
      </c>
      <c r="AE89" s="11">
        <f t="shared" si="6"/>
        <v>0</v>
      </c>
      <c r="AH89" s="11" t="str">
        <f t="shared" si="9"/>
        <v/>
      </c>
    </row>
    <row r="90" spans="1:34">
      <c r="A90" s="171">
        <v>62</v>
      </c>
      <c r="B90" s="172" t="s">
        <v>136</v>
      </c>
      <c r="C90" s="173">
        <f t="shared" si="10"/>
        <v>90</v>
      </c>
      <c r="D90" s="174" t="s">
        <v>48</v>
      </c>
      <c r="E90" s="175" t="s">
        <v>44</v>
      </c>
      <c r="F90" s="176">
        <v>10</v>
      </c>
      <c r="G90" s="176">
        <v>1000</v>
      </c>
      <c r="H90" s="193">
        <v>0.1</v>
      </c>
      <c r="I90" s="266"/>
      <c r="J90" s="267"/>
      <c r="K90" s="266"/>
      <c r="L90" s="267"/>
      <c r="U90" s="11">
        <f t="shared" si="7"/>
        <v>90</v>
      </c>
      <c r="AB90" s="11">
        <v>0</v>
      </c>
      <c r="AC90" s="11">
        <v>0</v>
      </c>
      <c r="AD90" s="11">
        <f t="shared" si="8"/>
        <v>0</v>
      </c>
      <c r="AE90" s="11">
        <f t="shared" si="6"/>
        <v>0</v>
      </c>
      <c r="AH90" s="11" t="str">
        <f t="shared" si="9"/>
        <v/>
      </c>
    </row>
    <row r="91" spans="1:34">
      <c r="A91" s="83">
        <v>63</v>
      </c>
      <c r="B91" s="109" t="s">
        <v>137</v>
      </c>
      <c r="C91" s="84">
        <f t="shared" si="10"/>
        <v>91</v>
      </c>
      <c r="D91" s="91" t="s">
        <v>48</v>
      </c>
      <c r="E91" s="92" t="s">
        <v>44</v>
      </c>
      <c r="F91" s="93">
        <v>4</v>
      </c>
      <c r="G91" s="93">
        <v>1000</v>
      </c>
      <c r="H91" s="132">
        <v>0.1</v>
      </c>
      <c r="I91" s="94" t="s">
        <v>292</v>
      </c>
      <c r="J91" s="95" t="str">
        <f>+"X =(" &amp;O91&amp;"Q-"&amp;P91&amp;")/Q)"</f>
        <v>X =(2Q-500)/Q)</v>
      </c>
      <c r="K91" s="268"/>
      <c r="L91" s="269"/>
      <c r="O91" s="11">
        <v>2</v>
      </c>
      <c r="P91" s="11">
        <v>500</v>
      </c>
      <c r="Q91" s="11" t="s">
        <v>138</v>
      </c>
      <c r="U91" s="11">
        <f t="shared" si="7"/>
        <v>91</v>
      </c>
      <c r="AB91" s="11">
        <v>0</v>
      </c>
      <c r="AC91" s="11">
        <v>0</v>
      </c>
      <c r="AD91" s="11" t="str">
        <f t="shared" si="8"/>
        <v>F</v>
      </c>
      <c r="AE91" s="11" t="str">
        <f t="shared" si="6"/>
        <v>massa [kg] Q</v>
      </c>
      <c r="AH91" s="11" t="str">
        <f t="shared" si="9"/>
        <v>massa [kg] Q</v>
      </c>
    </row>
    <row r="92" spans="1:34">
      <c r="A92" s="104">
        <v>64</v>
      </c>
      <c r="B92" s="108" t="s">
        <v>140</v>
      </c>
      <c r="C92" s="97">
        <f t="shared" si="10"/>
        <v>92</v>
      </c>
      <c r="D92" s="98" t="s">
        <v>48</v>
      </c>
      <c r="E92" s="99" t="s">
        <v>44</v>
      </c>
      <c r="F92" s="100">
        <v>6</v>
      </c>
      <c r="G92" s="100">
        <v>300</v>
      </c>
      <c r="H92" s="131">
        <v>0.1</v>
      </c>
      <c r="I92" s="266"/>
      <c r="J92" s="267"/>
      <c r="K92" s="266"/>
      <c r="L92" s="267"/>
      <c r="U92" s="11">
        <f t="shared" si="7"/>
        <v>92</v>
      </c>
      <c r="AB92" s="11">
        <v>0</v>
      </c>
      <c r="AC92" s="11">
        <v>0</v>
      </c>
      <c r="AD92" s="11">
        <f t="shared" si="8"/>
        <v>0</v>
      </c>
      <c r="AE92" s="11">
        <f t="shared" si="6"/>
        <v>0</v>
      </c>
      <c r="AH92" s="11" t="str">
        <f t="shared" si="9"/>
        <v/>
      </c>
    </row>
    <row r="93" spans="1:34">
      <c r="A93" s="83">
        <v>65</v>
      </c>
      <c r="B93" s="109" t="s">
        <v>141</v>
      </c>
      <c r="C93" s="84">
        <f t="shared" si="10"/>
        <v>93</v>
      </c>
      <c r="D93" s="91" t="s">
        <v>48</v>
      </c>
      <c r="E93" s="92" t="s">
        <v>44</v>
      </c>
      <c r="F93" s="93">
        <v>6</v>
      </c>
      <c r="G93" s="93">
        <v>1000</v>
      </c>
      <c r="H93" s="132">
        <v>0.4</v>
      </c>
      <c r="I93" s="94" t="s">
        <v>293</v>
      </c>
      <c r="J93" s="95" t="str">
        <f>+"X =(" &amp;O93&amp;"P-"&amp;P93&amp;")/P)"</f>
        <v>X =(3P-200)/P)</v>
      </c>
      <c r="K93" s="268"/>
      <c r="L93" s="269"/>
      <c r="O93" s="11">
        <v>3</v>
      </c>
      <c r="P93" s="11">
        <v>200</v>
      </c>
      <c r="Q93" s="11" t="s">
        <v>144</v>
      </c>
      <c r="U93" s="11">
        <f t="shared" si="7"/>
        <v>93</v>
      </c>
      <c r="V93" s="11">
        <v>3</v>
      </c>
      <c r="W93" s="11">
        <v>100</v>
      </c>
      <c r="AB93" s="11">
        <v>1</v>
      </c>
      <c r="AC93" s="11">
        <v>0</v>
      </c>
      <c r="AD93" s="11" t="str">
        <f t="shared" si="8"/>
        <v>F</v>
      </c>
      <c r="AE93" s="11" t="str">
        <f t="shared" si="6"/>
        <v xml:space="preserve">Persone P
</v>
      </c>
      <c r="AH93" s="11" t="str">
        <f t="shared" si="9"/>
        <v xml:space="preserve">Persone P
</v>
      </c>
    </row>
    <row r="94" spans="1:34">
      <c r="A94" s="110">
        <v>66</v>
      </c>
      <c r="B94" s="116" t="s">
        <v>143</v>
      </c>
      <c r="C94" s="116">
        <f t="shared" si="10"/>
        <v>94</v>
      </c>
      <c r="D94" s="117" t="s">
        <v>48</v>
      </c>
      <c r="E94" s="118" t="s">
        <v>44</v>
      </c>
      <c r="F94" s="119">
        <v>6</v>
      </c>
      <c r="G94" s="119">
        <v>1000</v>
      </c>
      <c r="H94" s="133">
        <v>0.4</v>
      </c>
      <c r="I94" s="120" t="s">
        <v>294</v>
      </c>
      <c r="J94" s="113" t="str">
        <f>+"X =(" &amp;O94&amp;"PL-"&amp;P94&amp;")/PL)"</f>
        <v>X =(2PL-25)/PL)</v>
      </c>
      <c r="K94" s="266"/>
      <c r="L94" s="267"/>
      <c r="O94" s="11">
        <v>2</v>
      </c>
      <c r="P94" s="11">
        <v>25</v>
      </c>
      <c r="Q94" s="11" t="s">
        <v>231</v>
      </c>
      <c r="U94" s="11">
        <f t="shared" si="7"/>
        <v>94</v>
      </c>
      <c r="AB94" s="11">
        <v>1</v>
      </c>
      <c r="AC94" s="11">
        <v>0</v>
      </c>
      <c r="AD94" s="11" t="str">
        <f t="shared" si="8"/>
        <v>F</v>
      </c>
      <c r="AE94" s="11" t="str">
        <f t="shared" si="6"/>
        <v xml:space="preserve">Posti Letto PL
</v>
      </c>
      <c r="AH94" s="11" t="str">
        <f t="shared" si="9"/>
        <v xml:space="preserve">Posti Letto PL
</v>
      </c>
    </row>
    <row r="95" spans="1:34">
      <c r="A95" s="83">
        <v>67</v>
      </c>
      <c r="B95" s="109" t="s">
        <v>145</v>
      </c>
      <c r="C95" s="84">
        <f t="shared" si="10"/>
        <v>95</v>
      </c>
      <c r="D95" s="91" t="s">
        <v>48</v>
      </c>
      <c r="E95" s="92" t="s">
        <v>44</v>
      </c>
      <c r="F95" s="93">
        <v>4</v>
      </c>
      <c r="G95" s="93">
        <v>1000</v>
      </c>
      <c r="H95" s="132">
        <v>0.1</v>
      </c>
      <c r="I95" s="94" t="s">
        <v>293</v>
      </c>
      <c r="J95" s="95" t="str">
        <f>+"X =(" &amp;O95&amp;"P-"&amp;P95&amp;")/P)"</f>
        <v>X =(3P-200)/P)</v>
      </c>
      <c r="K95" s="268"/>
      <c r="L95" s="269"/>
      <c r="O95" s="11">
        <v>3</v>
      </c>
      <c r="P95" s="11">
        <v>200</v>
      </c>
      <c r="U95" s="11">
        <f t="shared" si="7"/>
        <v>95</v>
      </c>
      <c r="AB95" s="11">
        <v>0</v>
      </c>
      <c r="AC95" s="11">
        <v>0</v>
      </c>
      <c r="AD95" s="11" t="str">
        <f t="shared" si="8"/>
        <v>F</v>
      </c>
      <c r="AE95" s="11" t="str">
        <f t="shared" si="6"/>
        <v>Persone P</v>
      </c>
      <c r="AH95" s="11" t="str">
        <f t="shared" si="9"/>
        <v>Persone P</v>
      </c>
    </row>
    <row r="96" spans="1:34" s="74" customFormat="1" ht="27.6">
      <c r="A96" s="104" t="s">
        <v>306</v>
      </c>
      <c r="B96" s="135" t="s">
        <v>146</v>
      </c>
      <c r="C96" s="136">
        <f t="shared" si="10"/>
        <v>96</v>
      </c>
      <c r="D96" s="102" t="s">
        <v>147</v>
      </c>
      <c r="E96" s="99" t="s">
        <v>44</v>
      </c>
      <c r="F96" s="100">
        <v>6</v>
      </c>
      <c r="G96" s="100">
        <v>3000</v>
      </c>
      <c r="H96" s="131">
        <v>0.4</v>
      </c>
      <c r="I96" s="102" t="s">
        <v>302</v>
      </c>
      <c r="J96" s="101" t="s">
        <v>304</v>
      </c>
      <c r="K96" s="137" t="s">
        <v>303</v>
      </c>
      <c r="L96" s="142" t="s">
        <v>305</v>
      </c>
      <c r="Q96" s="74" t="s">
        <v>148</v>
      </c>
      <c r="U96" s="74">
        <f t="shared" si="7"/>
        <v>96</v>
      </c>
      <c r="AB96" s="74">
        <v>0</v>
      </c>
      <c r="AC96" s="74">
        <v>0</v>
      </c>
      <c r="AD96" s="74" t="str">
        <f t="shared" si="8"/>
        <v>X = (Sx x 7)^0,5</v>
      </c>
      <c r="AE96" s="74" t="str">
        <f t="shared" si="6"/>
        <v xml:space="preserve">Sx - aree tipo B e/o F </v>
      </c>
      <c r="AH96" s="74" t="str">
        <f t="shared" si="9"/>
        <v xml:space="preserve">Sx - aree tipo B e/o F </v>
      </c>
    </row>
    <row r="97" spans="1:34" ht="27.6">
      <c r="A97" s="327">
        <v>69</v>
      </c>
      <c r="B97" s="109" t="s">
        <v>149</v>
      </c>
      <c r="C97" s="84">
        <f t="shared" si="10"/>
        <v>97</v>
      </c>
      <c r="D97" s="290" t="s">
        <v>48</v>
      </c>
      <c r="E97" s="291" t="s">
        <v>44</v>
      </c>
      <c r="F97" s="292">
        <v>6</v>
      </c>
      <c r="G97" s="292">
        <v>1000</v>
      </c>
      <c r="H97" s="293">
        <v>0.3</v>
      </c>
      <c r="I97" s="115" t="s">
        <v>286</v>
      </c>
      <c r="J97" s="95">
        <v>0.8</v>
      </c>
      <c r="K97" s="268"/>
      <c r="L97" s="269"/>
      <c r="U97" s="11">
        <f t="shared" si="7"/>
        <v>97</v>
      </c>
      <c r="AB97" s="11">
        <v>1</v>
      </c>
      <c r="AC97" s="11">
        <v>1</v>
      </c>
      <c r="AD97" s="11">
        <f t="shared" si="8"/>
        <v>0.8</v>
      </c>
      <c r="AE97" s="11" t="str">
        <f t="shared" si="6"/>
        <v xml:space="preserve">Vendita Ingrosso
</v>
      </c>
      <c r="AH97" s="11" t="str">
        <f t="shared" si="9"/>
        <v xml:space="preserve">Vendita Ingrosso
</v>
      </c>
    </row>
    <row r="98" spans="1:34" ht="27.6">
      <c r="A98" s="327"/>
      <c r="B98" s="109"/>
      <c r="C98" s="84">
        <f t="shared" si="10"/>
        <v>98</v>
      </c>
      <c r="D98" s="290"/>
      <c r="E98" s="291"/>
      <c r="F98" s="292"/>
      <c r="G98" s="292"/>
      <c r="H98" s="293"/>
      <c r="I98" s="115" t="s">
        <v>150</v>
      </c>
      <c r="J98" s="95">
        <v>1</v>
      </c>
      <c r="K98" s="268"/>
      <c r="L98" s="269"/>
      <c r="U98" s="11">
        <f t="shared" si="7"/>
        <v>98</v>
      </c>
      <c r="AC98" s="11">
        <v>0</v>
      </c>
      <c r="AD98" s="11">
        <f t="shared" si="8"/>
        <v>1</v>
      </c>
      <c r="AE98" s="11" t="str">
        <f t="shared" ref="AE98:AE114" si="11">+IF(AB98=1,I98 &amp; CHAR(10) &amp;  "",I98)</f>
        <v>Vendita Dettaglio</v>
      </c>
      <c r="AH98" s="11" t="str">
        <f t="shared" si="9"/>
        <v>Vendita Dettaglio</v>
      </c>
    </row>
    <row r="99" spans="1:34">
      <c r="A99" s="104">
        <v>70</v>
      </c>
      <c r="B99" s="108" t="s">
        <v>151</v>
      </c>
      <c r="C99" s="97">
        <f t="shared" si="10"/>
        <v>99</v>
      </c>
      <c r="D99" s="98" t="s">
        <v>48</v>
      </c>
      <c r="E99" s="99" t="s">
        <v>44</v>
      </c>
      <c r="F99" s="100">
        <v>4</v>
      </c>
      <c r="G99" s="100">
        <v>1000</v>
      </c>
      <c r="H99" s="131">
        <v>0.1</v>
      </c>
      <c r="I99" s="102" t="s">
        <v>288</v>
      </c>
      <c r="J99" s="101" t="str">
        <f>+"X =(" &amp;O99&amp;"Q-"&amp;P99&amp;")/Q)"</f>
        <v>X =(2Q-5)/Q)</v>
      </c>
      <c r="K99" s="266"/>
      <c r="L99" s="267"/>
      <c r="O99" s="11">
        <v>2</v>
      </c>
      <c r="P99" s="11">
        <v>5</v>
      </c>
      <c r="Q99" s="11" t="s">
        <v>97</v>
      </c>
      <c r="U99" s="11">
        <f t="shared" si="7"/>
        <v>99</v>
      </c>
      <c r="AB99" s="11">
        <v>1</v>
      </c>
      <c r="AC99" s="11">
        <v>0</v>
      </c>
      <c r="AD99" s="11" t="str">
        <f t="shared" si="8"/>
        <v>F</v>
      </c>
      <c r="AE99" s="11" t="str">
        <f t="shared" si="11"/>
        <v xml:space="preserve">massa [t] Q
</v>
      </c>
      <c r="AH99" s="11" t="str">
        <f t="shared" si="9"/>
        <v xml:space="preserve">massa [t] Q
</v>
      </c>
    </row>
    <row r="100" spans="1:34">
      <c r="A100" s="83">
        <v>71</v>
      </c>
      <c r="B100" s="109" t="s">
        <v>152</v>
      </c>
      <c r="C100" s="84">
        <f t="shared" si="10"/>
        <v>100</v>
      </c>
      <c r="D100" s="91" t="s">
        <v>48</v>
      </c>
      <c r="E100" s="92" t="s">
        <v>44</v>
      </c>
      <c r="F100" s="93">
        <v>6</v>
      </c>
      <c r="G100" s="93">
        <v>1000</v>
      </c>
      <c r="H100" s="132">
        <v>0.4</v>
      </c>
      <c r="I100" s="94" t="s">
        <v>293</v>
      </c>
      <c r="J100" s="95" t="str">
        <f>+"X =(" &amp;O100&amp;"P-"&amp;P100&amp;")/P)"</f>
        <v>X =(3P-600)/P)</v>
      </c>
      <c r="K100" s="268"/>
      <c r="L100" s="269"/>
      <c r="O100" s="11">
        <v>3</v>
      </c>
      <c r="P100" s="11">
        <v>600</v>
      </c>
      <c r="Q100" s="11" t="s">
        <v>153</v>
      </c>
      <c r="U100" s="11">
        <f t="shared" si="7"/>
        <v>100</v>
      </c>
      <c r="AB100" s="11">
        <v>1</v>
      </c>
      <c r="AC100" s="11">
        <v>0</v>
      </c>
      <c r="AD100" s="11" t="str">
        <f t="shared" si="8"/>
        <v>F</v>
      </c>
      <c r="AE100" s="11" t="str">
        <f t="shared" si="11"/>
        <v xml:space="preserve">Persone P
</v>
      </c>
      <c r="AH100" s="11" t="str">
        <f t="shared" si="9"/>
        <v xml:space="preserve">Persone P
</v>
      </c>
    </row>
    <row r="101" spans="1:34" ht="27.6">
      <c r="A101" s="328">
        <v>72</v>
      </c>
      <c r="B101" s="108" t="s">
        <v>157</v>
      </c>
      <c r="C101" s="97">
        <f t="shared" si="10"/>
        <v>101</v>
      </c>
      <c r="D101" s="276" t="s">
        <v>48</v>
      </c>
      <c r="E101" s="278" t="s">
        <v>44</v>
      </c>
      <c r="F101" s="280">
        <v>8</v>
      </c>
      <c r="G101" s="280">
        <v>1000</v>
      </c>
      <c r="H101" s="294">
        <v>0.3</v>
      </c>
      <c r="I101" s="112" t="s">
        <v>295</v>
      </c>
      <c r="J101" s="101">
        <v>1</v>
      </c>
      <c r="K101" s="258"/>
      <c r="L101" s="259"/>
      <c r="Q101" s="11" t="s">
        <v>160</v>
      </c>
      <c r="U101" s="11">
        <f t="shared" si="7"/>
        <v>101</v>
      </c>
      <c r="AB101" s="11">
        <v>0</v>
      </c>
      <c r="AC101" s="11">
        <v>0</v>
      </c>
      <c r="AD101" s="11">
        <f t="shared" si="8"/>
        <v>1</v>
      </c>
      <c r="AE101" s="11" t="str">
        <f t="shared" si="11"/>
        <v>Bibblioteche, musei e simili</v>
      </c>
      <c r="AH101" s="11" t="str">
        <f t="shared" si="9"/>
        <v>Bibblioteche, musei e simili</v>
      </c>
    </row>
    <row r="102" spans="1:34" ht="27.6">
      <c r="A102" s="328"/>
      <c r="B102" s="108"/>
      <c r="C102" s="97">
        <f t="shared" si="10"/>
        <v>102</v>
      </c>
      <c r="D102" s="276"/>
      <c r="E102" s="278"/>
      <c r="F102" s="280"/>
      <c r="G102" s="280"/>
      <c r="H102" s="294"/>
      <c r="I102" s="102" t="s">
        <v>156</v>
      </c>
      <c r="J102" s="101">
        <v>0.3</v>
      </c>
      <c r="K102" s="270"/>
      <c r="L102" s="271"/>
      <c r="U102" s="11">
        <f t="shared" si="7"/>
        <v>102</v>
      </c>
      <c r="AA102" s="11">
        <f>+(3920*6)^0.5</f>
        <v>153.36231610144651</v>
      </c>
      <c r="AB102" s="11">
        <v>0</v>
      </c>
      <c r="AC102" s="11">
        <v>0</v>
      </c>
      <c r="AD102" s="11">
        <f t="shared" si="8"/>
        <v>0.3</v>
      </c>
      <c r="AE102" s="11" t="str">
        <f t="shared" si="11"/>
        <v>Altre attività soggette</v>
      </c>
      <c r="AH102" s="11" t="str">
        <f t="shared" si="9"/>
        <v>Altre attività soggette</v>
      </c>
    </row>
    <row r="103" spans="1:34" ht="27.6">
      <c r="A103" s="327">
        <v>73</v>
      </c>
      <c r="B103" s="109" t="s">
        <v>154</v>
      </c>
      <c r="C103" s="84">
        <f t="shared" si="10"/>
        <v>103</v>
      </c>
      <c r="D103" s="290" t="s">
        <v>48</v>
      </c>
      <c r="E103" s="291" t="s">
        <v>44</v>
      </c>
      <c r="F103" s="292">
        <v>4</v>
      </c>
      <c r="G103" s="292">
        <v>1500</v>
      </c>
      <c r="H103" s="293">
        <v>0.1</v>
      </c>
      <c r="I103" s="115" t="s">
        <v>158</v>
      </c>
      <c r="J103" s="95">
        <v>1</v>
      </c>
      <c r="K103" s="286"/>
      <c r="L103" s="287"/>
      <c r="Q103" s="11" t="s">
        <v>161</v>
      </c>
      <c r="U103" s="11">
        <f t="shared" si="7"/>
        <v>103</v>
      </c>
      <c r="AB103" s="11">
        <v>0</v>
      </c>
      <c r="AC103" s="11">
        <v>0</v>
      </c>
      <c r="AD103" s="11">
        <f t="shared" si="8"/>
        <v>1</v>
      </c>
      <c r="AE103" s="11" t="str">
        <f t="shared" si="11"/>
        <v>Attività interne non soggette</v>
      </c>
      <c r="AH103" s="11" t="str">
        <f t="shared" si="9"/>
        <v>Attività interne non soggette</v>
      </c>
    </row>
    <row r="104" spans="1:34" ht="27.6">
      <c r="A104" s="327"/>
      <c r="B104" s="109"/>
      <c r="C104" s="84">
        <f t="shared" si="10"/>
        <v>104</v>
      </c>
      <c r="D104" s="290"/>
      <c r="E104" s="291"/>
      <c r="F104" s="292"/>
      <c r="G104" s="292"/>
      <c r="H104" s="293"/>
      <c r="I104" s="115" t="s">
        <v>159</v>
      </c>
      <c r="J104" s="95">
        <v>0.2</v>
      </c>
      <c r="K104" s="288"/>
      <c r="L104" s="289"/>
      <c r="U104" s="11">
        <f t="shared" si="7"/>
        <v>104</v>
      </c>
      <c r="Z104" s="11">
        <v>8000</v>
      </c>
      <c r="AA104" s="11">
        <f>+Z104^0.5</f>
        <v>89.442719099991592</v>
      </c>
      <c r="AB104" s="11">
        <v>0</v>
      </c>
      <c r="AC104" s="11">
        <v>0</v>
      </c>
      <c r="AD104" s="11">
        <f t="shared" si="8"/>
        <v>0.2</v>
      </c>
      <c r="AE104" s="11" t="str">
        <f t="shared" si="11"/>
        <v>Attività interne soggette</v>
      </c>
      <c r="AH104" s="11" t="str">
        <f t="shared" si="9"/>
        <v>Attività interne soggette</v>
      </c>
    </row>
    <row r="105" spans="1:34">
      <c r="A105" s="104">
        <v>74</v>
      </c>
      <c r="B105" s="108" t="s">
        <v>162</v>
      </c>
      <c r="C105" s="97">
        <f t="shared" si="10"/>
        <v>105</v>
      </c>
      <c r="D105" s="98" t="s">
        <v>116</v>
      </c>
      <c r="E105" s="99" t="s">
        <v>119</v>
      </c>
      <c r="F105" s="100">
        <v>4</v>
      </c>
      <c r="G105" s="274"/>
      <c r="H105" s="275"/>
      <c r="I105" s="266"/>
      <c r="J105" s="267"/>
      <c r="K105" s="266"/>
      <c r="L105" s="267"/>
      <c r="U105" s="11">
        <f t="shared" si="7"/>
        <v>105</v>
      </c>
      <c r="Z105" s="11">
        <f>1200*7</f>
        <v>8400</v>
      </c>
      <c r="AA105" s="11">
        <f>+Z105^0.5</f>
        <v>91.651513899116793</v>
      </c>
      <c r="AB105" s="11">
        <v>0</v>
      </c>
      <c r="AC105" s="11">
        <v>0</v>
      </c>
      <c r="AD105" s="11">
        <f t="shared" si="8"/>
        <v>0</v>
      </c>
      <c r="AE105" s="11">
        <f t="shared" si="11"/>
        <v>0</v>
      </c>
      <c r="AH105" s="11" t="str">
        <f t="shared" si="9"/>
        <v/>
      </c>
    </row>
    <row r="106" spans="1:34" ht="30" customHeight="1">
      <c r="A106" s="327">
        <v>75</v>
      </c>
      <c r="B106" s="109" t="s">
        <v>163</v>
      </c>
      <c r="C106" s="84">
        <f t="shared" si="10"/>
        <v>106</v>
      </c>
      <c r="D106" s="290" t="s">
        <v>48</v>
      </c>
      <c r="E106" s="291" t="s">
        <v>44</v>
      </c>
      <c r="F106" s="292">
        <v>6</v>
      </c>
      <c r="G106" s="292">
        <v>1000</v>
      </c>
      <c r="H106" s="293">
        <v>0.4</v>
      </c>
      <c r="I106" s="282" t="s">
        <v>297</v>
      </c>
      <c r="J106" s="284" t="str">
        <f>+"X =(" &amp;O106&amp;"PI-"&amp;P106&amp;")/PI)"</f>
        <v>X =(2PI-0,8)/PI)</v>
      </c>
      <c r="K106" s="96" t="s">
        <v>164</v>
      </c>
      <c r="L106" s="140">
        <v>1</v>
      </c>
      <c r="O106" s="11">
        <v>2</v>
      </c>
      <c r="P106" s="11">
        <v>0.8</v>
      </c>
      <c r="Q106" s="11" t="s">
        <v>166</v>
      </c>
      <c r="U106" s="11">
        <f t="shared" si="7"/>
        <v>106</v>
      </c>
      <c r="AA106" s="11">
        <f>+AA105+AA104+AA102</f>
        <v>334.45654910055487</v>
      </c>
      <c r="AB106" s="11">
        <v>1</v>
      </c>
      <c r="AC106" s="11">
        <v>0</v>
      </c>
      <c r="AD106" s="11" t="str">
        <f t="shared" si="8"/>
        <v>F</v>
      </c>
      <c r="AE106" s="11" t="str">
        <f t="shared" si="11"/>
        <v xml:space="preserve">Numero di Piani Interrati PI
</v>
      </c>
      <c r="AH106" s="11" t="str">
        <f t="shared" si="9"/>
        <v xml:space="preserve">Numero di Piani Interrati PI
</v>
      </c>
    </row>
    <row r="107" spans="1:34">
      <c r="A107" s="327"/>
      <c r="B107" s="109"/>
      <c r="C107" s="84">
        <f t="shared" si="10"/>
        <v>107</v>
      </c>
      <c r="D107" s="290"/>
      <c r="E107" s="291"/>
      <c r="F107" s="292"/>
      <c r="G107" s="292"/>
      <c r="H107" s="293"/>
      <c r="I107" s="283"/>
      <c r="J107" s="285"/>
      <c r="K107" s="96" t="s">
        <v>165</v>
      </c>
      <c r="L107" s="140">
        <v>0.6</v>
      </c>
      <c r="U107" s="11">
        <f t="shared" si="7"/>
        <v>107</v>
      </c>
      <c r="AB107" s="11">
        <v>1</v>
      </c>
      <c r="AC107" s="11">
        <v>0</v>
      </c>
      <c r="AD107" s="11">
        <f t="shared" si="8"/>
        <v>0</v>
      </c>
      <c r="AE107" s="11" t="str">
        <f t="shared" si="11"/>
        <v xml:space="preserve">
</v>
      </c>
      <c r="AH107" s="11" t="str">
        <f t="shared" si="9"/>
        <v/>
      </c>
    </row>
    <row r="108" spans="1:34">
      <c r="A108" s="104">
        <v>76</v>
      </c>
      <c r="B108" s="108" t="s">
        <v>167</v>
      </c>
      <c r="C108" s="97">
        <f t="shared" si="10"/>
        <v>108</v>
      </c>
      <c r="D108" s="98" t="s">
        <v>48</v>
      </c>
      <c r="E108" s="99" t="s">
        <v>44</v>
      </c>
      <c r="F108" s="100">
        <v>6</v>
      </c>
      <c r="G108" s="100">
        <v>1000</v>
      </c>
      <c r="H108" s="131">
        <v>0.1</v>
      </c>
      <c r="I108" s="266"/>
      <c r="J108" s="267"/>
      <c r="K108" s="266"/>
      <c r="L108" s="267"/>
      <c r="U108" s="11">
        <f t="shared" si="7"/>
        <v>108</v>
      </c>
      <c r="AB108" s="11">
        <v>0</v>
      </c>
      <c r="AC108" s="11">
        <v>0</v>
      </c>
      <c r="AD108" s="11">
        <f t="shared" si="8"/>
        <v>0</v>
      </c>
      <c r="AE108" s="11">
        <f t="shared" si="11"/>
        <v>0</v>
      </c>
      <c r="AH108" s="11" t="str">
        <f t="shared" si="9"/>
        <v/>
      </c>
    </row>
    <row r="109" spans="1:34" ht="27.6">
      <c r="A109" s="83">
        <v>77</v>
      </c>
      <c r="B109" s="109" t="s">
        <v>168</v>
      </c>
      <c r="C109" s="84">
        <f t="shared" si="10"/>
        <v>109</v>
      </c>
      <c r="D109" s="91" t="s">
        <v>169</v>
      </c>
      <c r="E109" s="92" t="s">
        <v>49</v>
      </c>
      <c r="F109" s="93">
        <v>6</v>
      </c>
      <c r="G109" s="93">
        <v>60</v>
      </c>
      <c r="H109" s="132">
        <v>0.3</v>
      </c>
      <c r="I109" s="94" t="s">
        <v>296</v>
      </c>
      <c r="J109" s="95" t="str">
        <f>+"X =(" &amp;O109&amp;"SC-"&amp;P109&amp;")/SC)"</f>
        <v>X =(2SC-1)/SC)</v>
      </c>
      <c r="K109" s="268"/>
      <c r="L109" s="269"/>
      <c r="O109" s="11">
        <v>2</v>
      </c>
      <c r="P109" s="11">
        <v>1</v>
      </c>
      <c r="Q109" s="11" t="s">
        <v>166</v>
      </c>
      <c r="U109" s="11">
        <f t="shared" si="7"/>
        <v>109</v>
      </c>
      <c r="AB109" s="11">
        <v>1</v>
      </c>
      <c r="AC109" s="11">
        <v>0</v>
      </c>
      <c r="AD109" s="11" t="str">
        <f t="shared" si="8"/>
        <v>F</v>
      </c>
      <c r="AE109" s="11" t="str">
        <f t="shared" si="11"/>
        <v xml:space="preserve">Numero Scale SC
</v>
      </c>
      <c r="AH109" s="11" t="str">
        <f t="shared" si="9"/>
        <v xml:space="preserve">Numero Scale SC
</v>
      </c>
    </row>
    <row r="110" spans="1:34" ht="41.4">
      <c r="A110" s="328">
        <v>78</v>
      </c>
      <c r="B110" s="108" t="s">
        <v>170</v>
      </c>
      <c r="C110" s="97">
        <f t="shared" si="10"/>
        <v>110</v>
      </c>
      <c r="D110" s="98" t="s">
        <v>171</v>
      </c>
      <c r="E110" s="99" t="s">
        <v>44</v>
      </c>
      <c r="F110" s="100">
        <v>8</v>
      </c>
      <c r="G110" s="100">
        <v>5000</v>
      </c>
      <c r="H110" s="131">
        <v>0.4</v>
      </c>
      <c r="I110" s="102" t="s">
        <v>173</v>
      </c>
      <c r="J110" s="101">
        <v>3</v>
      </c>
      <c r="K110" s="258"/>
      <c r="L110" s="259"/>
      <c r="U110" s="11">
        <f t="shared" si="7"/>
        <v>110</v>
      </c>
      <c r="AB110" s="11">
        <v>0</v>
      </c>
      <c r="AC110" s="11">
        <v>0</v>
      </c>
      <c r="AD110" s="11">
        <f t="shared" si="8"/>
        <v>3</v>
      </c>
      <c r="AE110" s="11" t="str">
        <f t="shared" si="11"/>
        <v>Aerostazione</v>
      </c>
      <c r="AH110" s="11" t="str">
        <f t="shared" si="9"/>
        <v>Aerostazione</v>
      </c>
    </row>
    <row r="111" spans="1:34" ht="27.6">
      <c r="A111" s="328"/>
      <c r="B111" s="108"/>
      <c r="C111" s="97">
        <f t="shared" si="10"/>
        <v>111</v>
      </c>
      <c r="D111" s="98" t="s">
        <v>298</v>
      </c>
      <c r="E111" s="99" t="s">
        <v>40</v>
      </c>
      <c r="F111" s="100">
        <v>40000</v>
      </c>
      <c r="G111" s="272"/>
      <c r="H111" s="273"/>
      <c r="I111" s="102" t="s">
        <v>174</v>
      </c>
      <c r="J111" s="101">
        <v>1</v>
      </c>
      <c r="K111" s="270"/>
      <c r="L111" s="271"/>
      <c r="U111" s="11">
        <f t="shared" si="7"/>
        <v>111</v>
      </c>
      <c r="AB111" s="11">
        <v>0</v>
      </c>
      <c r="AC111" s="11">
        <v>0</v>
      </c>
      <c r="AD111" s="11">
        <f t="shared" si="8"/>
        <v>1</v>
      </c>
      <c r="AE111" s="11" t="str">
        <f t="shared" si="11"/>
        <v>Stazione Ferroviaria</v>
      </c>
      <c r="AH111" s="11" t="str">
        <f t="shared" si="9"/>
        <v>Stazione Ferroviaria</v>
      </c>
    </row>
    <row r="112" spans="1:34">
      <c r="A112" s="83">
        <v>79</v>
      </c>
      <c r="B112" s="109" t="s">
        <v>175</v>
      </c>
      <c r="C112" s="84">
        <f t="shared" si="10"/>
        <v>112</v>
      </c>
      <c r="D112" s="91" t="s">
        <v>48</v>
      </c>
      <c r="E112" s="92" t="s">
        <v>44</v>
      </c>
      <c r="F112" s="93">
        <v>4</v>
      </c>
      <c r="G112" s="93">
        <v>50000</v>
      </c>
      <c r="H112" s="132">
        <v>0.1</v>
      </c>
      <c r="I112" s="268"/>
      <c r="J112" s="269"/>
      <c r="K112" s="268"/>
      <c r="L112" s="269"/>
      <c r="U112" s="11">
        <f t="shared" si="7"/>
        <v>112</v>
      </c>
      <c r="AB112" s="11">
        <v>0</v>
      </c>
      <c r="AC112" s="11">
        <v>0</v>
      </c>
      <c r="AD112" s="11">
        <f t="shared" si="8"/>
        <v>0</v>
      </c>
      <c r="AE112" s="11">
        <f t="shared" si="11"/>
        <v>0</v>
      </c>
      <c r="AH112" s="11" t="str">
        <f t="shared" si="9"/>
        <v/>
      </c>
    </row>
    <row r="113" spans="1:34">
      <c r="A113" s="328">
        <v>80</v>
      </c>
      <c r="B113" s="108" t="s">
        <v>176</v>
      </c>
      <c r="C113" s="97">
        <f t="shared" si="10"/>
        <v>113</v>
      </c>
      <c r="D113" s="276" t="s">
        <v>177</v>
      </c>
      <c r="E113" s="278" t="s">
        <v>49</v>
      </c>
      <c r="F113" s="280">
        <v>100</v>
      </c>
      <c r="G113" s="262"/>
      <c r="H113" s="263"/>
      <c r="I113" s="102" t="s">
        <v>178</v>
      </c>
      <c r="J113" s="101">
        <v>3</v>
      </c>
      <c r="K113" s="258"/>
      <c r="L113" s="259"/>
      <c r="U113" s="11">
        <f>+C113</f>
        <v>113</v>
      </c>
      <c r="AB113" s="11">
        <v>0</v>
      </c>
      <c r="AC113" s="11">
        <v>0</v>
      </c>
      <c r="AD113" s="11">
        <f t="shared" si="8"/>
        <v>3</v>
      </c>
      <c r="AE113" s="11" t="str">
        <f t="shared" si="11"/>
        <v>Autostradale</v>
      </c>
      <c r="AH113" s="11" t="str">
        <f t="shared" si="9"/>
        <v>Autostradale</v>
      </c>
    </row>
    <row r="114" spans="1:34" ht="15" thickBot="1">
      <c r="A114" s="329"/>
      <c r="B114" s="108"/>
      <c r="C114" s="97">
        <f t="shared" si="10"/>
        <v>114</v>
      </c>
      <c r="D114" s="277"/>
      <c r="E114" s="279"/>
      <c r="F114" s="281"/>
      <c r="G114" s="264"/>
      <c r="H114" s="265"/>
      <c r="I114" s="121" t="s">
        <v>179</v>
      </c>
      <c r="J114" s="122">
        <v>1</v>
      </c>
      <c r="K114" s="260"/>
      <c r="L114" s="261"/>
      <c r="U114" s="11">
        <f>+C114</f>
        <v>114</v>
      </c>
      <c r="AB114" s="11">
        <v>0</v>
      </c>
      <c r="AC114" s="11">
        <v>0</v>
      </c>
      <c r="AD114" s="11">
        <f t="shared" si="8"/>
        <v>1</v>
      </c>
      <c r="AE114" s="11" t="str">
        <f t="shared" si="11"/>
        <v>Ferroviaria</v>
      </c>
      <c r="AH114" s="11" t="str">
        <f t="shared" si="9"/>
        <v>Ferroviaria</v>
      </c>
    </row>
    <row r="115" spans="1:34">
      <c r="C115" s="124">
        <f t="shared" si="10"/>
        <v>115</v>
      </c>
    </row>
  </sheetData>
  <mergeCells count="309">
    <mergeCell ref="B5:B6"/>
    <mergeCell ref="B7:B8"/>
    <mergeCell ref="B9:B10"/>
    <mergeCell ref="B11:B12"/>
    <mergeCell ref="I1:J1"/>
    <mergeCell ref="K1:L1"/>
    <mergeCell ref="A3:A4"/>
    <mergeCell ref="B3:B4"/>
    <mergeCell ref="A5:A6"/>
    <mergeCell ref="G4:H4"/>
    <mergeCell ref="D7:D8"/>
    <mergeCell ref="E7:E8"/>
    <mergeCell ref="F7:F8"/>
    <mergeCell ref="G7:G8"/>
    <mergeCell ref="H7:H8"/>
    <mergeCell ref="D9:D10"/>
    <mergeCell ref="E9:E10"/>
    <mergeCell ref="F9:F10"/>
    <mergeCell ref="G9:G10"/>
    <mergeCell ref="H9:H10"/>
    <mergeCell ref="A53:A54"/>
    <mergeCell ref="A17:A18"/>
    <mergeCell ref="A19:A20"/>
    <mergeCell ref="A21:A22"/>
    <mergeCell ref="A23:A24"/>
    <mergeCell ref="A25:A26"/>
    <mergeCell ref="A27:A28"/>
    <mergeCell ref="A7:A8"/>
    <mergeCell ref="A9:A10"/>
    <mergeCell ref="A11:A12"/>
    <mergeCell ref="A103:A104"/>
    <mergeCell ref="A106:A107"/>
    <mergeCell ref="A110:A111"/>
    <mergeCell ref="A113:A114"/>
    <mergeCell ref="A1:A2"/>
    <mergeCell ref="D1:H1"/>
    <mergeCell ref="G6:H6"/>
    <mergeCell ref="A71:A72"/>
    <mergeCell ref="A74:A75"/>
    <mergeCell ref="A79:A80"/>
    <mergeCell ref="A85:A86"/>
    <mergeCell ref="A97:A98"/>
    <mergeCell ref="A101:A102"/>
    <mergeCell ref="A56:A57"/>
    <mergeCell ref="A58:A59"/>
    <mergeCell ref="A61:A62"/>
    <mergeCell ref="A67:A68"/>
    <mergeCell ref="A65:A66"/>
    <mergeCell ref="A31:A32"/>
    <mergeCell ref="A41:A42"/>
    <mergeCell ref="A43:A44"/>
    <mergeCell ref="A49:A50"/>
    <mergeCell ref="A51:A52"/>
    <mergeCell ref="D25:D26"/>
    <mergeCell ref="I16:J16"/>
    <mergeCell ref="K16:L16"/>
    <mergeCell ref="K17:L18"/>
    <mergeCell ref="K19:L20"/>
    <mergeCell ref="D19:D20"/>
    <mergeCell ref="E19:E20"/>
    <mergeCell ref="F19:F20"/>
    <mergeCell ref="G19:G20"/>
    <mergeCell ref="K11:L12"/>
    <mergeCell ref="I13:J13"/>
    <mergeCell ref="K13:L13"/>
    <mergeCell ref="I14:J14"/>
    <mergeCell ref="K14:L14"/>
    <mergeCell ref="I15:J15"/>
    <mergeCell ref="K15:L15"/>
    <mergeCell ref="G13:H13"/>
    <mergeCell ref="G14:H14"/>
    <mergeCell ref="G15:H15"/>
    <mergeCell ref="D11:D12"/>
    <mergeCell ref="E11:E12"/>
    <mergeCell ref="F11:F12"/>
    <mergeCell ref="G11:G12"/>
    <mergeCell ref="H11:H12"/>
    <mergeCell ref="H19:H20"/>
    <mergeCell ref="K47:L47"/>
    <mergeCell ref="K48:L48"/>
    <mergeCell ref="K43:L44"/>
    <mergeCell ref="K30:L30"/>
    <mergeCell ref="K31:L32"/>
    <mergeCell ref="I33:J33"/>
    <mergeCell ref="G29:H29"/>
    <mergeCell ref="I29:J29"/>
    <mergeCell ref="K29:L29"/>
    <mergeCell ref="G31:G32"/>
    <mergeCell ref="H31:H32"/>
    <mergeCell ref="I41:I42"/>
    <mergeCell ref="J41:J42"/>
    <mergeCell ref="I36:J36"/>
    <mergeCell ref="I37:J37"/>
    <mergeCell ref="I38:J38"/>
    <mergeCell ref="I39:J39"/>
    <mergeCell ref="I30:J30"/>
    <mergeCell ref="H25:H26"/>
    <mergeCell ref="K25:L26"/>
    <mergeCell ref="K45:L45"/>
    <mergeCell ref="K46:L46"/>
    <mergeCell ref="E27:E28"/>
    <mergeCell ref="E31:E32"/>
    <mergeCell ref="F31:F32"/>
    <mergeCell ref="F27:F28"/>
    <mergeCell ref="G27:G28"/>
    <mergeCell ref="H27:H28"/>
    <mergeCell ref="I40:J40"/>
    <mergeCell ref="K33:L33"/>
    <mergeCell ref="K34:L34"/>
    <mergeCell ref="K35:L35"/>
    <mergeCell ref="K36:L36"/>
    <mergeCell ref="K37:L37"/>
    <mergeCell ref="K38:L38"/>
    <mergeCell ref="K39:L39"/>
    <mergeCell ref="K40:L40"/>
    <mergeCell ref="I34:J34"/>
    <mergeCell ref="I35:J35"/>
    <mergeCell ref="K60:L60"/>
    <mergeCell ref="D61:D62"/>
    <mergeCell ref="E61:E62"/>
    <mergeCell ref="F61:F62"/>
    <mergeCell ref="G61:G62"/>
    <mergeCell ref="K55:L55"/>
    <mergeCell ref="D56:D57"/>
    <mergeCell ref="E56:E57"/>
    <mergeCell ref="F56:F57"/>
    <mergeCell ref="H61:H62"/>
    <mergeCell ref="I61:I62"/>
    <mergeCell ref="J61:J62"/>
    <mergeCell ref="D58:D59"/>
    <mergeCell ref="E58:E59"/>
    <mergeCell ref="F58:F59"/>
    <mergeCell ref="G58:G59"/>
    <mergeCell ref="H58:H59"/>
    <mergeCell ref="I58:I59"/>
    <mergeCell ref="I60:J60"/>
    <mergeCell ref="J58:J59"/>
    <mergeCell ref="J49:J50"/>
    <mergeCell ref="D43:D44"/>
    <mergeCell ref="E43:E44"/>
    <mergeCell ref="F43:F44"/>
    <mergeCell ref="G43:G44"/>
    <mergeCell ref="H43:H44"/>
    <mergeCell ref="I43:I44"/>
    <mergeCell ref="J43:J44"/>
    <mergeCell ref="D49:D50"/>
    <mergeCell ref="E49:E50"/>
    <mergeCell ref="F49:F50"/>
    <mergeCell ref="G49:G50"/>
    <mergeCell ref="H49:H50"/>
    <mergeCell ref="I45:J45"/>
    <mergeCell ref="I46:J46"/>
    <mergeCell ref="I49:I50"/>
    <mergeCell ref="D17:D18"/>
    <mergeCell ref="E17:E18"/>
    <mergeCell ref="F17:F18"/>
    <mergeCell ref="G41:G42"/>
    <mergeCell ref="H41:H42"/>
    <mergeCell ref="G17:G18"/>
    <mergeCell ref="H17:H18"/>
    <mergeCell ref="D23:D24"/>
    <mergeCell ref="E23:E24"/>
    <mergeCell ref="F23:F24"/>
    <mergeCell ref="D21:D22"/>
    <mergeCell ref="E21:E22"/>
    <mergeCell ref="F21:F22"/>
    <mergeCell ref="G21:G22"/>
    <mergeCell ref="H21:H22"/>
    <mergeCell ref="F41:F42"/>
    <mergeCell ref="D27:D28"/>
    <mergeCell ref="D31:D32"/>
    <mergeCell ref="G23:H24"/>
    <mergeCell ref="D41:D42"/>
    <mergeCell ref="E41:E42"/>
    <mergeCell ref="E25:E26"/>
    <mergeCell ref="F25:F26"/>
    <mergeCell ref="G25:G26"/>
    <mergeCell ref="I51:I52"/>
    <mergeCell ref="J51:J52"/>
    <mergeCell ref="I53:I54"/>
    <mergeCell ref="J53:J54"/>
    <mergeCell ref="I56:I57"/>
    <mergeCell ref="J56:J57"/>
    <mergeCell ref="D51:D52"/>
    <mergeCell ref="E51:E52"/>
    <mergeCell ref="F51:F52"/>
    <mergeCell ref="G51:G52"/>
    <mergeCell ref="H51:H52"/>
    <mergeCell ref="G56:G57"/>
    <mergeCell ref="H56:H57"/>
    <mergeCell ref="D53:D54"/>
    <mergeCell ref="E53:E54"/>
    <mergeCell ref="F53:F54"/>
    <mergeCell ref="G53:G54"/>
    <mergeCell ref="H53:H54"/>
    <mergeCell ref="D71:D72"/>
    <mergeCell ref="E71:E72"/>
    <mergeCell ref="F71:F72"/>
    <mergeCell ref="G71:G72"/>
    <mergeCell ref="H71:H72"/>
    <mergeCell ref="D65:D66"/>
    <mergeCell ref="E65:E66"/>
    <mergeCell ref="F65:F66"/>
    <mergeCell ref="G65:G66"/>
    <mergeCell ref="H65:H66"/>
    <mergeCell ref="D67:D68"/>
    <mergeCell ref="E67:E68"/>
    <mergeCell ref="F67:F68"/>
    <mergeCell ref="G67:G68"/>
    <mergeCell ref="H67:H68"/>
    <mergeCell ref="K70:L70"/>
    <mergeCell ref="J71:J72"/>
    <mergeCell ref="G73:H73"/>
    <mergeCell ref="I73:J73"/>
    <mergeCell ref="K73:L73"/>
    <mergeCell ref="K63:L63"/>
    <mergeCell ref="I64:J64"/>
    <mergeCell ref="K64:L64"/>
    <mergeCell ref="I65:I66"/>
    <mergeCell ref="J65:J66"/>
    <mergeCell ref="J67:J68"/>
    <mergeCell ref="I76:J76"/>
    <mergeCell ref="K76:L76"/>
    <mergeCell ref="I77:J77"/>
    <mergeCell ref="K77:L77"/>
    <mergeCell ref="I78:J78"/>
    <mergeCell ref="K78:L78"/>
    <mergeCell ref="D74:D75"/>
    <mergeCell ref="E74:E75"/>
    <mergeCell ref="F74:F75"/>
    <mergeCell ref="K74:L75"/>
    <mergeCell ref="G74:H75"/>
    <mergeCell ref="I81:J81"/>
    <mergeCell ref="I82:J82"/>
    <mergeCell ref="I83:J83"/>
    <mergeCell ref="I84:J84"/>
    <mergeCell ref="K81:L81"/>
    <mergeCell ref="K82:L82"/>
    <mergeCell ref="K83:L83"/>
    <mergeCell ref="K84:L84"/>
    <mergeCell ref="D79:D80"/>
    <mergeCell ref="E79:E80"/>
    <mergeCell ref="F79:F80"/>
    <mergeCell ref="G79:G80"/>
    <mergeCell ref="H79:H80"/>
    <mergeCell ref="K79:L80"/>
    <mergeCell ref="I87:J87"/>
    <mergeCell ref="I88:J88"/>
    <mergeCell ref="I89:J89"/>
    <mergeCell ref="I90:J90"/>
    <mergeCell ref="K87:L87"/>
    <mergeCell ref="K88:L88"/>
    <mergeCell ref="K89:L89"/>
    <mergeCell ref="K90:L90"/>
    <mergeCell ref="D85:D86"/>
    <mergeCell ref="E85:E86"/>
    <mergeCell ref="F85:F86"/>
    <mergeCell ref="G85:G86"/>
    <mergeCell ref="H85:H86"/>
    <mergeCell ref="K85:L86"/>
    <mergeCell ref="F97:F98"/>
    <mergeCell ref="G97:G98"/>
    <mergeCell ref="H97:H98"/>
    <mergeCell ref="D101:D102"/>
    <mergeCell ref="E101:E102"/>
    <mergeCell ref="F101:F102"/>
    <mergeCell ref="G101:G102"/>
    <mergeCell ref="H101:H102"/>
    <mergeCell ref="K91:L91"/>
    <mergeCell ref="K92:L92"/>
    <mergeCell ref="K93:L93"/>
    <mergeCell ref="K94:L94"/>
    <mergeCell ref="K95:L95"/>
    <mergeCell ref="I92:J92"/>
    <mergeCell ref="D113:D114"/>
    <mergeCell ref="E113:E114"/>
    <mergeCell ref="F113:F114"/>
    <mergeCell ref="I105:J105"/>
    <mergeCell ref="I106:I107"/>
    <mergeCell ref="J106:J107"/>
    <mergeCell ref="K108:L108"/>
    <mergeCell ref="K109:L109"/>
    <mergeCell ref="K97:L97"/>
    <mergeCell ref="K98:L98"/>
    <mergeCell ref="K103:L104"/>
    <mergeCell ref="K105:L105"/>
    <mergeCell ref="D103:D104"/>
    <mergeCell ref="E103:E104"/>
    <mergeCell ref="F103:F104"/>
    <mergeCell ref="G103:G104"/>
    <mergeCell ref="H103:H104"/>
    <mergeCell ref="D106:D107"/>
    <mergeCell ref="E106:E107"/>
    <mergeCell ref="F106:F107"/>
    <mergeCell ref="G106:G107"/>
    <mergeCell ref="H106:H107"/>
    <mergeCell ref="D97:D98"/>
    <mergeCell ref="E97:E98"/>
    <mergeCell ref="K113:L114"/>
    <mergeCell ref="G113:H114"/>
    <mergeCell ref="K99:L99"/>
    <mergeCell ref="K100:L100"/>
    <mergeCell ref="K101:L102"/>
    <mergeCell ref="G111:H111"/>
    <mergeCell ref="K110:L111"/>
    <mergeCell ref="I112:J112"/>
    <mergeCell ref="G105:H105"/>
    <mergeCell ref="K112:L112"/>
    <mergeCell ref="I108:J108"/>
  </mergeCells>
  <dataValidations disablePrompts="1" count="2">
    <dataValidation type="list" allowBlank="1" showErrorMessage="1" sqref="Y3:Y6">
      <formula1>$AG$3:$AH$3</formula1>
    </dataValidation>
    <dataValidation type="list" allowBlank="1" showErrorMessage="1" sqref="Z3:Z6">
      <formula1>$AG$3:$AI$3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R28"/>
  <sheetViews>
    <sheetView workbookViewId="0"/>
  </sheetViews>
  <sheetFormatPr defaultRowHeight="14.4"/>
  <sheetData>
    <row r="1" spans="1:15">
      <c r="A1">
        <v>4</v>
      </c>
      <c r="B1">
        <f>+A1*60</f>
        <v>240</v>
      </c>
      <c r="D1">
        <v>720</v>
      </c>
      <c r="E1">
        <f>+D1-$B$3</f>
        <v>240</v>
      </c>
    </row>
    <row r="2" spans="1:15">
      <c r="B2">
        <v>720</v>
      </c>
      <c r="D2">
        <v>780</v>
      </c>
      <c r="E2">
        <f t="shared" ref="E2:E8" si="0">+D2-$B$3</f>
        <v>300</v>
      </c>
    </row>
    <row r="3" spans="1:15">
      <c r="B3">
        <f>+B2-B1</f>
        <v>480</v>
      </c>
      <c r="D3">
        <v>1320</v>
      </c>
      <c r="E3">
        <f t="shared" si="0"/>
        <v>840</v>
      </c>
      <c r="L3">
        <f>184/34</f>
        <v>5.4117647058823533</v>
      </c>
    </row>
    <row r="4" spans="1:15">
      <c r="D4">
        <v>1680</v>
      </c>
      <c r="E4">
        <f t="shared" si="0"/>
        <v>1200</v>
      </c>
    </row>
    <row r="5" spans="1:15">
      <c r="D5">
        <v>1740</v>
      </c>
      <c r="E5">
        <f t="shared" si="0"/>
        <v>1260</v>
      </c>
      <c r="L5">
        <f>34/184</f>
        <v>0.18478260869565216</v>
      </c>
    </row>
    <row r="6" spans="1:15">
      <c r="D6">
        <v>1860</v>
      </c>
      <c r="E6">
        <f t="shared" si="0"/>
        <v>1380</v>
      </c>
    </row>
    <row r="7" spans="1:15">
      <c r="D7">
        <v>2520</v>
      </c>
      <c r="E7">
        <f t="shared" si="0"/>
        <v>2040</v>
      </c>
      <c r="L7">
        <f>16/114</f>
        <v>0.14035087719298245</v>
      </c>
    </row>
    <row r="8" spans="1:15">
      <c r="D8">
        <v>4440</v>
      </c>
      <c r="E8">
        <f t="shared" si="0"/>
        <v>3960</v>
      </c>
    </row>
    <row r="9" spans="1:15">
      <c r="I9">
        <v>2</v>
      </c>
      <c r="J9">
        <v>3</v>
      </c>
    </row>
    <row r="10" spans="1:15">
      <c r="I10">
        <v>2</v>
      </c>
      <c r="J10">
        <v>4</v>
      </c>
    </row>
    <row r="12" spans="1:15">
      <c r="A12">
        <f>+SQRT(1890)</f>
        <v>43.474130238568314</v>
      </c>
      <c r="B12">
        <f>+A12/30</f>
        <v>1.4491376746189437</v>
      </c>
      <c r="C12">
        <v>3</v>
      </c>
      <c r="D12">
        <f>+C12*60</f>
        <v>180</v>
      </c>
    </row>
    <row r="13" spans="1:15">
      <c r="B13">
        <f>+B12*60</f>
        <v>86.948260477136628</v>
      </c>
    </row>
    <row r="15" spans="1:15">
      <c r="N15">
        <v>16</v>
      </c>
      <c r="O15">
        <f>+N15/N16</f>
        <v>62.774639045825502</v>
      </c>
    </row>
    <row r="16" spans="1:15">
      <c r="K16">
        <v>1.18</v>
      </c>
      <c r="L16">
        <v>0.18</v>
      </c>
      <c r="M16">
        <v>1.2</v>
      </c>
      <c r="N16">
        <f>+K16*L16*M16</f>
        <v>0.25487999999999994</v>
      </c>
    </row>
    <row r="19" spans="4:18">
      <c r="D19">
        <f>0.5*0.18*1.2</f>
        <v>0.108</v>
      </c>
      <c r="F19">
        <v>22</v>
      </c>
      <c r="G19">
        <f>+F19/0.1</f>
        <v>220</v>
      </c>
    </row>
    <row r="20" spans="4:18">
      <c r="D20">
        <f>0.5*22</f>
        <v>11</v>
      </c>
      <c r="F20">
        <v>22</v>
      </c>
    </row>
    <row r="23" spans="4:18">
      <c r="D23">
        <v>0.8</v>
      </c>
      <c r="E23">
        <f>+D23*50</f>
        <v>40</v>
      </c>
      <c r="F23">
        <v>22</v>
      </c>
      <c r="G23">
        <f>+F23/0.8</f>
        <v>27.5</v>
      </c>
    </row>
    <row r="25" spans="4:18">
      <c r="J25">
        <f>27+63</f>
        <v>90</v>
      </c>
      <c r="O25">
        <v>240</v>
      </c>
      <c r="P25">
        <v>180</v>
      </c>
      <c r="Q25">
        <v>126</v>
      </c>
      <c r="R25">
        <f>+SUM(O25:Q25)</f>
        <v>546</v>
      </c>
    </row>
    <row r="26" spans="4:18">
      <c r="D26">
        <v>1.18</v>
      </c>
      <c r="E26">
        <v>0.18</v>
      </c>
      <c r="F26">
        <v>0.45</v>
      </c>
      <c r="G26">
        <f>+D26*E26*F26</f>
        <v>9.5579999999999998E-2</v>
      </c>
    </row>
    <row r="27" spans="4:18">
      <c r="H27">
        <v>16</v>
      </c>
      <c r="I27">
        <f>+H27/H28</f>
        <v>30.131826741996232</v>
      </c>
    </row>
    <row r="28" spans="4:18">
      <c r="H28">
        <f>1.18*0.45</f>
        <v>0.53100000000000003</v>
      </c>
      <c r="R28">
        <f>0.6-0.15</f>
        <v>0.44999999999999996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A1:AM28"/>
  <sheetViews>
    <sheetView workbookViewId="0"/>
  </sheetViews>
  <sheetFormatPr defaultRowHeight="14.4"/>
  <cols>
    <col min="2" max="2" width="55.44140625" customWidth="1"/>
    <col min="3" max="3" width="16.44140625" customWidth="1"/>
    <col min="4" max="4" width="10.33203125" style="7" customWidth="1"/>
    <col min="5" max="5" width="16.6640625" bestFit="1" customWidth="1"/>
    <col min="6" max="6" width="19.109375" customWidth="1"/>
    <col min="7" max="7" width="10.5546875" customWidth="1"/>
    <col min="8" max="8" width="18.109375" customWidth="1"/>
    <col min="9" max="9" width="10.6640625" customWidth="1"/>
    <col min="10" max="10" width="10" bestFit="1" customWidth="1"/>
    <col min="14" max="22" width="0" hidden="1" customWidth="1"/>
    <col min="26" max="26" width="20.33203125" customWidth="1"/>
    <col min="27" max="27" width="9.6640625" bestFit="1" customWidth="1"/>
  </cols>
  <sheetData>
    <row r="1" spans="1:39">
      <c r="E1" s="256" t="s">
        <v>198</v>
      </c>
      <c r="F1" s="256"/>
      <c r="G1" s="256"/>
      <c r="H1" s="256"/>
      <c r="I1" s="256"/>
    </row>
    <row r="2" spans="1:39">
      <c r="A2" s="1" t="s">
        <v>10</v>
      </c>
      <c r="B2" s="1" t="s">
        <v>3</v>
      </c>
      <c r="C2" s="1" t="s">
        <v>12</v>
      </c>
      <c r="D2" s="25" t="s">
        <v>14</v>
      </c>
      <c r="E2" s="1" t="s">
        <v>199</v>
      </c>
      <c r="F2" s="1" t="s">
        <v>200</v>
      </c>
      <c r="G2" s="1" t="s">
        <v>202</v>
      </c>
      <c r="H2" s="1" t="s">
        <v>201</v>
      </c>
      <c r="I2" s="1" t="s">
        <v>202</v>
      </c>
      <c r="J2" s="1" t="s">
        <v>27</v>
      </c>
      <c r="X2" s="1" t="s">
        <v>17</v>
      </c>
      <c r="Y2" s="1" t="s">
        <v>18</v>
      </c>
      <c r="Z2" s="1" t="s">
        <v>19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3" t="s">
        <v>31</v>
      </c>
      <c r="AG2" s="3" t="s">
        <v>32</v>
      </c>
      <c r="AH2" s="3" t="s">
        <v>79</v>
      </c>
      <c r="AI2" s="3" t="s">
        <v>80</v>
      </c>
      <c r="AJ2" s="3" t="s">
        <v>195</v>
      </c>
      <c r="AK2" s="3" t="s">
        <v>194</v>
      </c>
    </row>
    <row r="3" spans="1:39" s="4" customFormat="1" ht="110.25" customHeight="1">
      <c r="A3" s="28">
        <v>4</v>
      </c>
      <c r="B3" s="16" t="str">
        <f>+VLOOKUP($A3,TabAtt,2,FALSE)</f>
        <v>Depositi di gas infiammabili in serbatoi fissi: compressi per capacità geometrica complessiva superiore o uguale a 0, 75 m3; disciolti o liquefatti per capacità geometrica complessiva superiore o uguale a 0,3 m3</v>
      </c>
      <c r="C3" s="20" t="s">
        <v>54</v>
      </c>
      <c r="D3" s="17" t="str">
        <f ca="1">+VLOOKUP(C3,INDIRECT(ADDRESS(X3,4,1,,"PARAMETRI ATTIVITA") &amp; ":" &amp; +ADDRESS(X3+5,12,1,,)),2,FALSE)</f>
        <v>m³</v>
      </c>
      <c r="E3" s="21">
        <v>1000</v>
      </c>
      <c r="F3" s="20" t="s">
        <v>33</v>
      </c>
      <c r="G3" s="18">
        <v>1</v>
      </c>
      <c r="H3" s="20" t="s">
        <v>37</v>
      </c>
      <c r="I3" s="19">
        <v>0</v>
      </c>
      <c r="J3" s="22">
        <f ca="1">IF(AF3=0,+SQRT(AJ3*AA3)*AC3*AE3,IF(AJ3-AF3&lt;0,+SQRT((AJ3+AK3)*AA3)*AC3*AE3,SQRT((AF3+AK3+(AJ3-AF3)*AG3)*AA3))*AC3*AE3)</f>
        <v>289.82753492378879</v>
      </c>
      <c r="X3" s="5">
        <f>+VLOOKUP($A3,TabAtt,3,FALSE)</f>
        <v>8</v>
      </c>
      <c r="Y3" s="5">
        <f>+VLOOKUP($A3+1,TabAtt,3,FALSE)-X3</f>
        <v>2</v>
      </c>
      <c r="Z3" s="5" t="str">
        <f>+ADDRESS(X3,4,1,,"PARAMETRI ATTIVITA")</f>
        <v>'PARAMETRI ATTIVITA'!$D$8</v>
      </c>
      <c r="AA3" s="6">
        <f ca="1">+VLOOKUP(C3,INDIRECT(ADDRESS(X3,4,1,,"PARAMETRI ATTIVITA") &amp; ":" &amp; +ADDRESS(X3+5,12,1,,)),3,FALSE)</f>
        <v>300</v>
      </c>
      <c r="AB3" s="5" t="str">
        <f>+ADDRESS(X3,7,1,,"PARAMETRI ATTIVITA")</f>
        <v>'PARAMETRI ATTIVITA'!$G$8</v>
      </c>
      <c r="AC3" s="5">
        <f ca="1">+IF(AM3="F",IF((G3*AH3-AI3)/G3&lt;0,1,(G3*AH3-AI3)/G3),AM3)</f>
        <v>1</v>
      </c>
      <c r="AD3" s="5" t="str">
        <f>+ADDRESS(X3,9,1,,"PARAMETRI ATTIVITA")</f>
        <v>'PARAMETRI ATTIVITA'!$I$8</v>
      </c>
      <c r="AE3" s="5">
        <f ca="1">++IF(A3=68,1,VLOOKUP(H3,INDIRECT(ADDRESS(X3,9,1,,"PARAMETRI ATTIVITA") &amp; ":" &amp; +ADDRESS(X3+5,108,1,,)),2,FALSE))</f>
        <v>1</v>
      </c>
      <c r="AF3" s="4">
        <f ca="1">+VLOOKUP(C3,INDIRECT(ADDRESS(X3,4,1,,"PARAMETRI ATTIVITA") &amp; ":" &amp; +ADDRESS(X3+5,12,1,,)),8,FALSE)</f>
        <v>200</v>
      </c>
      <c r="AG3" s="4">
        <f ca="1">+VLOOKUP(C3,INDIRECT(ADDRESS(X3,4,1,,"PARAMETRI ATTIVITA") &amp; ":" &amp; +ADDRESS(X3+5,12,1,,)),9,FALSE)</f>
        <v>0.1</v>
      </c>
      <c r="AH3" s="4">
        <f>+IF(ISERROR(VLOOKUP($A3,TabAtt,13,FALSE))=FALSE,VLOOKUP($A3,TabAtt,13,FALSE),1)</f>
        <v>0</v>
      </c>
      <c r="AI3" s="4">
        <f>+IF(ISERROR(VLOOKUP($A3,TabAtt,14,FALSE))=FALSE,VLOOKUP($A3,TabAtt,14,FALSE),1)</f>
        <v>0</v>
      </c>
      <c r="AJ3" s="4">
        <f>+E3</f>
        <v>1000</v>
      </c>
      <c r="AK3" s="4">
        <f ca="1">+IF(A3=68,G3*VLOOKUP(F3,INDIRECT(ADDRESS(X3,7,1,,"PARAMETRI ATTIVITA") &amp; ":" &amp; +ADDRESS(X3+5,8,1,,)),2,FALSE)+I3*VLOOKUP(H3,INDIRECT(ADDRESS(X3,9,1,,"PARAMETRI ATTIVITA") &amp; ":" &amp; +ADDRESS(X3+5,108,1,,)),2,FALSE),0)</f>
        <v>0</v>
      </c>
      <c r="AM3" s="4">
        <f ca="1">+IF(A3=68,1,VLOOKUP(F3,INDIRECT(ADDRESS(X3,7,1,,"PARAMETRI ATTIVITA") &amp; ":" &amp; +ADDRESS(X3+5,8,1,,)),2,FALSE))</f>
        <v>1</v>
      </c>
    </row>
    <row r="4" spans="1:39">
      <c r="D4" s="12" t="str">
        <f ca="1">+"Limite superiore ["&amp; D3 &amp; "] ="</f>
        <v>Limite superiore [m³] =</v>
      </c>
      <c r="E4">
        <f ca="1">+INDIRECT(ADDRESS(X3,11,1,,"PARAMETRI ATTIVITA"))</f>
        <v>200</v>
      </c>
      <c r="F4" s="15" t="s">
        <v>85</v>
      </c>
      <c r="G4">
        <f ca="1">+INDIRECT(ADDRESS(X3,15,1,,"PARAMETRI ATTIVITA"))</f>
        <v>0</v>
      </c>
      <c r="X4" s="1"/>
      <c r="Y4" s="1"/>
      <c r="Z4" s="1" t="str">
        <f>+ADDRESS(X3,4,1,,"PARAMETRI ATTIVITA") &amp; ":" &amp; +ADDRESS(X3+5,12,1,,)</f>
        <v>'PARAMETRI ATTIVITA'!$D$8:$L$13</v>
      </c>
      <c r="AA4" s="1"/>
      <c r="AB4" s="1"/>
      <c r="AC4" s="1"/>
      <c r="AD4" s="1"/>
      <c r="AE4" s="1"/>
    </row>
    <row r="5" spans="1:39">
      <c r="D5" s="12" t="str">
        <f ca="1">+"Calcolo dell'eccedenza dei ["&amp; D3 &amp; "] ="</f>
        <v>Calcolo dell'eccedenza dei [m³] =</v>
      </c>
      <c r="E5">
        <f ca="1">+INDIRECT(ADDRESS(X3,12,1,,"PARAMETRI ATTIVITA"))</f>
        <v>0.1</v>
      </c>
      <c r="F5" t="s">
        <v>196</v>
      </c>
      <c r="G5" s="36">
        <f ca="1">+AC3</f>
        <v>1</v>
      </c>
      <c r="H5" t="s">
        <v>197</v>
      </c>
      <c r="I5">
        <f ca="1">+AE3</f>
        <v>1</v>
      </c>
      <c r="X5" s="1"/>
      <c r="Y5" s="1"/>
      <c r="Z5" s="1"/>
      <c r="AA5" s="1"/>
      <c r="AB5" s="1"/>
      <c r="AC5" s="1"/>
      <c r="AD5" s="1"/>
      <c r="AE5" s="1"/>
    </row>
    <row r="6" spans="1:39">
      <c r="D6" s="12" t="s">
        <v>193</v>
      </c>
      <c r="E6">
        <f ca="1">+AA3</f>
        <v>300</v>
      </c>
      <c r="X6" s="1"/>
      <c r="Y6" s="1"/>
      <c r="Z6" s="1"/>
      <c r="AA6" s="1"/>
      <c r="AB6" s="1"/>
      <c r="AC6" s="1"/>
      <c r="AD6" s="1"/>
      <c r="AE6" s="1"/>
    </row>
    <row r="7" spans="1:39">
      <c r="X7" s="1"/>
      <c r="Y7" s="1"/>
      <c r="Z7" s="1"/>
      <c r="AA7" s="1"/>
      <c r="AB7" s="1"/>
      <c r="AC7" s="1"/>
      <c r="AD7" s="1"/>
      <c r="AE7" s="1"/>
    </row>
    <row r="8" spans="1:39">
      <c r="X8" s="1"/>
      <c r="Y8" s="1"/>
      <c r="Z8" s="1"/>
      <c r="AA8" s="1"/>
      <c r="AB8" s="1"/>
      <c r="AC8" s="1"/>
      <c r="AD8" s="1"/>
      <c r="AE8" s="1"/>
      <c r="AH8" t="b">
        <f>+ISERROR(VLOOKUP($A3,TabAtt,13,FALSE))</f>
        <v>0</v>
      </c>
    </row>
    <row r="9" spans="1:39">
      <c r="A9" s="29" t="s">
        <v>206</v>
      </c>
      <c r="C9" s="30" t="s">
        <v>206</v>
      </c>
      <c r="E9" s="30" t="s">
        <v>206</v>
      </c>
      <c r="F9" s="30" t="s">
        <v>210</v>
      </c>
      <c r="H9" s="30" t="s">
        <v>210</v>
      </c>
      <c r="J9" s="31" t="s">
        <v>213</v>
      </c>
      <c r="X9" s="1"/>
      <c r="Y9" s="1"/>
      <c r="Z9" s="1" t="str">
        <f ca="1">+IF(E4&gt;0,IF((E3-E4)&gt;0,"(" &amp; E4 &amp; " + "&amp;E3-E4&amp;" x " &amp; E5 &amp;")x" &amp; E6,E3 &amp; "x " &amp; E6),E3)</f>
        <v>(200 + 800 x 0,1)x300</v>
      </c>
      <c r="AA9" s="1" t="str">
        <f ca="1">+IF(F3="non def.",""," x" &amp;TEXT(G5,"#0,00"))</f>
        <v xml:space="preserve"> x1,00</v>
      </c>
      <c r="AB9" s="1" t="str">
        <f>+IF(H3="non def.",""," x" &amp; TEXT(I5,"#0,00"))</f>
        <v/>
      </c>
      <c r="AC9" s="1"/>
      <c r="AD9" s="1"/>
      <c r="AE9" s="1"/>
    </row>
    <row r="10" spans="1:39">
      <c r="A10" s="29" t="s">
        <v>207</v>
      </c>
      <c r="C10" s="30" t="s">
        <v>208</v>
      </c>
      <c r="E10" s="30" t="s">
        <v>209</v>
      </c>
      <c r="F10" s="30" t="s">
        <v>211</v>
      </c>
      <c r="H10" s="30" t="s">
        <v>212</v>
      </c>
      <c r="J10" s="31" t="s">
        <v>214</v>
      </c>
      <c r="X10" s="1"/>
      <c r="Y10" s="1"/>
      <c r="Z10" s="1"/>
      <c r="AA10" s="1"/>
      <c r="AB10" s="1"/>
      <c r="AC10" s="1"/>
      <c r="AD10" s="1"/>
      <c r="AE10" s="1"/>
    </row>
    <row r="11" spans="1:39" ht="21">
      <c r="C11" s="243" t="str">
        <f ca="1">"Formula = [SxK]^0,5 " &amp; IF(AA9 = "",""," x X") &amp; IF(AB9="","","  x Y") &amp; " = " &amp;  " [" &amp; Z9 &amp;"]^0,5" &amp; TEXT(AA9,"#0.00") &amp; TEXT(AB9,"#0.00") &amp; "= " &amp; TEXT(J3,"#.0,00")</f>
        <v>Formula = [SxK]^0,5  x X =  [(200 + 800 x 0,1)x300]^0,5 x1,00= 289,83</v>
      </c>
      <c r="D11" s="243"/>
      <c r="E11" s="243"/>
      <c r="F11" s="243"/>
      <c r="G11" s="243"/>
      <c r="H11" s="243"/>
      <c r="I11" s="243"/>
      <c r="J11" s="243"/>
      <c r="X11" s="1"/>
      <c r="Y11" s="1"/>
      <c r="Z11" s="1"/>
      <c r="AA11" s="1"/>
      <c r="AB11" s="1"/>
      <c r="AC11" s="1" t="s">
        <v>190</v>
      </c>
      <c r="AD11" s="1" t="s">
        <v>191</v>
      </c>
      <c r="AE11" s="1" t="s">
        <v>192</v>
      </c>
    </row>
    <row r="12" spans="1:39">
      <c r="X12" s="1"/>
      <c r="Y12" s="1"/>
      <c r="Z12" s="1" t="s">
        <v>182</v>
      </c>
      <c r="AA12" s="1">
        <v>1.2</v>
      </c>
      <c r="AB12" s="1" t="s">
        <v>185</v>
      </c>
      <c r="AC12" s="1">
        <v>1.2</v>
      </c>
      <c r="AD12" s="1">
        <v>1.5</v>
      </c>
      <c r="AE12" s="1">
        <v>2</v>
      </c>
    </row>
    <row r="13" spans="1:39">
      <c r="X13" s="1"/>
      <c r="Y13" s="1"/>
      <c r="Z13" s="1" t="s">
        <v>183</v>
      </c>
      <c r="AA13" s="1">
        <v>1</v>
      </c>
      <c r="AB13" s="1" t="s">
        <v>186</v>
      </c>
      <c r="AC13" s="1">
        <v>1</v>
      </c>
      <c r="AD13" s="1">
        <v>1</v>
      </c>
      <c r="AE13" s="1">
        <v>1</v>
      </c>
    </row>
    <row r="14" spans="1:39">
      <c r="X14" s="1"/>
      <c r="Y14" s="1"/>
      <c r="Z14" s="1" t="s">
        <v>203</v>
      </c>
      <c r="AA14" s="1">
        <v>1.5</v>
      </c>
      <c r="AB14" s="1"/>
      <c r="AC14" s="1"/>
      <c r="AD14" s="1"/>
      <c r="AE14" s="1"/>
    </row>
    <row r="15" spans="1:39">
      <c r="C15" s="23" t="s">
        <v>180</v>
      </c>
      <c r="D15" s="24" t="s">
        <v>181</v>
      </c>
      <c r="E15" s="23" t="s">
        <v>184</v>
      </c>
      <c r="F15" s="23" t="s">
        <v>187</v>
      </c>
      <c r="G15" s="23" t="s">
        <v>188</v>
      </c>
      <c r="H15" s="23" t="s">
        <v>189</v>
      </c>
      <c r="X15" s="1"/>
      <c r="Y15" s="1"/>
      <c r="Z15" s="1"/>
      <c r="AA15" s="1"/>
      <c r="AB15" s="1"/>
      <c r="AC15" s="1"/>
      <c r="AD15" s="1"/>
      <c r="AE15" s="1"/>
    </row>
    <row r="16" spans="1:39" ht="60.75" customHeight="1">
      <c r="C16" s="32">
        <f ca="1">+J3</f>
        <v>289.82753492378879</v>
      </c>
      <c r="D16" s="34" t="s">
        <v>183</v>
      </c>
      <c r="E16" s="35" t="s">
        <v>186</v>
      </c>
      <c r="F16" s="35" t="s">
        <v>186</v>
      </c>
      <c r="G16" s="35" t="s">
        <v>186</v>
      </c>
      <c r="H16" s="33">
        <v>50</v>
      </c>
      <c r="X16" s="1"/>
      <c r="Y16" s="1"/>
      <c r="Z16" s="1"/>
      <c r="AA16" s="1">
        <f>+VLOOKUP(D16,Z12:AA14,2,FALSE)</f>
        <v>1</v>
      </c>
      <c r="AB16" s="1">
        <f>+VLOOKUP(E16,$AB$12:$AE$13,2,FALSE)</f>
        <v>1</v>
      </c>
      <c r="AC16" s="1">
        <f>+VLOOKUP(F16,$AB$12:$AE$13,3,FALSE)</f>
        <v>1</v>
      </c>
      <c r="AD16" s="1">
        <f>+VLOOKUP(G16,$AB$12:$AE$13,4,FALSE)</f>
        <v>1</v>
      </c>
      <c r="AE16" s="1"/>
    </row>
    <row r="17" spans="2:31">
      <c r="X17" s="1"/>
      <c r="Y17" s="1"/>
      <c r="Z17" s="1"/>
      <c r="AA17" s="1"/>
      <c r="AB17" s="1"/>
      <c r="AC17" s="1"/>
      <c r="AD17" s="1"/>
      <c r="AE17" s="1"/>
    </row>
    <row r="18" spans="2:31">
      <c r="X18" s="1"/>
      <c r="Y18" s="1"/>
      <c r="Z18" s="1"/>
      <c r="AA18" s="1"/>
      <c r="AB18" s="1"/>
      <c r="AC18" s="1"/>
      <c r="AD18" s="1"/>
      <c r="AE18" s="1"/>
    </row>
    <row r="19" spans="2:31">
      <c r="B19">
        <v>7</v>
      </c>
      <c r="X19" s="1"/>
      <c r="Y19" s="1"/>
      <c r="Z19" s="1"/>
      <c r="AA19" s="1"/>
      <c r="AB19" s="1"/>
      <c r="AC19" s="1"/>
      <c r="AD19" s="1"/>
      <c r="AE19" s="1"/>
    </row>
    <row r="20" spans="2:31" ht="33.6">
      <c r="C20" s="26"/>
      <c r="D20" s="27" t="s">
        <v>205</v>
      </c>
      <c r="E20" s="257">
        <f ca="1">+C16*H16*PRODUCT(AA16:AD16)</f>
        <v>14491.376746189439</v>
      </c>
      <c r="F20" s="257"/>
      <c r="X20" s="1"/>
      <c r="Y20" s="1"/>
      <c r="Z20" s="1"/>
      <c r="AA20" s="1"/>
      <c r="AB20" s="1"/>
      <c r="AC20" s="1"/>
      <c r="AD20" s="1"/>
      <c r="AE20" s="1"/>
    </row>
    <row r="21" spans="2:31">
      <c r="X21" s="1"/>
      <c r="Y21" s="1"/>
      <c r="Z21" s="1"/>
      <c r="AA21" s="1"/>
      <c r="AB21" s="1"/>
      <c r="AC21" s="1"/>
      <c r="AD21" s="1"/>
      <c r="AE21" s="1"/>
    </row>
    <row r="22" spans="2:31">
      <c r="X22" s="1"/>
      <c r="Y22" s="1"/>
      <c r="Z22" s="1"/>
      <c r="AA22" s="1"/>
      <c r="AB22" s="1"/>
      <c r="AC22" s="1"/>
      <c r="AD22" s="1"/>
      <c r="AE22" s="1"/>
    </row>
    <row r="23" spans="2:31">
      <c r="X23" s="1"/>
      <c r="Y23" s="1"/>
      <c r="Z23" s="1"/>
      <c r="AA23" s="1"/>
      <c r="AB23" s="1"/>
      <c r="AC23" s="1"/>
      <c r="AD23" s="1"/>
      <c r="AE23" s="1"/>
    </row>
    <row r="24" spans="2:31">
      <c r="X24" s="1"/>
      <c r="Y24" s="1"/>
      <c r="Z24" s="1"/>
      <c r="AA24" s="1"/>
      <c r="AB24" s="1"/>
      <c r="AC24" s="1"/>
      <c r="AD24" s="1"/>
      <c r="AE24" s="1"/>
    </row>
    <row r="25" spans="2:31">
      <c r="X25" s="1"/>
      <c r="Y25" s="1"/>
      <c r="Z25" s="1"/>
      <c r="AA25" s="1"/>
      <c r="AB25" s="1"/>
      <c r="AC25" s="1"/>
      <c r="AD25" s="1"/>
      <c r="AE25" s="1"/>
    </row>
    <row r="26" spans="2:31">
      <c r="X26" s="1"/>
      <c r="Y26" s="1"/>
      <c r="Z26" s="1"/>
      <c r="AA26" s="1"/>
      <c r="AB26" s="1"/>
      <c r="AC26" s="1"/>
      <c r="AD26" s="1"/>
      <c r="AE26" s="1"/>
    </row>
    <row r="27" spans="2:31">
      <c r="X27" s="1"/>
      <c r="Y27" s="1"/>
      <c r="Z27" s="1"/>
      <c r="AA27" s="1"/>
      <c r="AB27" s="1"/>
      <c r="AC27" s="1"/>
      <c r="AD27" s="1"/>
      <c r="AE27" s="1"/>
    </row>
    <row r="28" spans="2:31">
      <c r="X28" s="1"/>
      <c r="Y28" s="1"/>
      <c r="Z28" s="1"/>
      <c r="AA28" s="1"/>
      <c r="AB28" s="1"/>
      <c r="AC28" s="1"/>
      <c r="AD28" s="1"/>
      <c r="AE28" s="1"/>
    </row>
  </sheetData>
  <mergeCells count="3">
    <mergeCell ref="E1:I1"/>
    <mergeCell ref="C11:J11"/>
    <mergeCell ref="E20:F20"/>
  </mergeCells>
  <dataValidations count="5">
    <dataValidation type="list" allowBlank="1" showInputMessage="1" showErrorMessage="1" sqref="E16:G16">
      <formula1>$AB$12:$AB$13</formula1>
    </dataValidation>
    <dataValidation type="list" allowBlank="1" showInputMessage="1" showErrorMessage="1" sqref="D16">
      <formula1>$Z$12:$Z$14</formula1>
    </dataValidation>
    <dataValidation type="list" allowBlank="1" showInputMessage="1" showErrorMessage="1" sqref="H3">
      <formula1>OFFSET(INDIRECT($AD$3),0,0,$Y$3)</formula1>
    </dataValidation>
    <dataValidation type="list" allowBlank="1" showInputMessage="1" showErrorMessage="1" sqref="F3">
      <formula1>OFFSET(INDIRECT($AB$3),0,0,$Y$3)</formula1>
    </dataValidation>
    <dataValidation type="list" errorStyle="information" allowBlank="1" showInputMessage="1" showErrorMessage="1" promptTitle="Scelta Sottoipo" sqref="C3">
      <formula1>OFFSET(INDIRECT($Z$3),0,0,$Y$3)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ulsante9_Click">
                <anchor moveWithCells="1" sizeWithCells="1">
                  <from>
                    <xdr:col>1</xdr:col>
                    <xdr:colOff>205740</xdr:colOff>
                    <xdr:row>4</xdr:row>
                    <xdr:rowOff>83820</xdr:rowOff>
                  </from>
                  <to>
                    <xdr:col>1</xdr:col>
                    <xdr:colOff>2811780</xdr:colOff>
                    <xdr:row>7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15</vt:i4>
      </vt:variant>
    </vt:vector>
  </HeadingPairs>
  <TitlesOfParts>
    <vt:vector size="23" baseType="lpstr">
      <vt:lpstr>FOGLIO CALCOLI</vt:lpstr>
      <vt:lpstr>ARCHIVIO</vt:lpstr>
      <vt:lpstr>PARAMETRI ATTIVITA</vt:lpstr>
      <vt:lpstr>MULTI ATTIVITA</vt:lpstr>
      <vt:lpstr>PARAMETRI ATTIVITA (2)</vt:lpstr>
      <vt:lpstr>Foglio1</vt:lpstr>
      <vt:lpstr>FOGLIO CALCOLI (2)</vt:lpstr>
      <vt:lpstr>Foglio2</vt:lpstr>
      <vt:lpstr>'PARAMETRI ATTIVITA (2)'!Area_stampa</vt:lpstr>
      <vt:lpstr>'PARAMETRI ATTIVITA (2)'!codAtt</vt:lpstr>
      <vt:lpstr>codAtt</vt:lpstr>
      <vt:lpstr>PARG</vt:lpstr>
      <vt:lpstr>PARHF1</vt:lpstr>
      <vt:lpstr>PARHF2</vt:lpstr>
      <vt:lpstr>'PARAMETRI ATTIVITA (2)'!ParX</vt:lpstr>
      <vt:lpstr>ParX</vt:lpstr>
      <vt:lpstr>'PARAMETRI ATTIVITA (2)'!PARY</vt:lpstr>
      <vt:lpstr>PARY</vt:lpstr>
      <vt:lpstr>'PARAMETRI ATTIVITA (2)'!TabAtt</vt:lpstr>
      <vt:lpstr>TabAtt</vt:lpstr>
      <vt:lpstr>'PARAMETRI ATTIVITA (2)'!Titoli_stampa</vt:lpstr>
      <vt:lpstr>'PARAMETRI ATTIVITA (2)'!UnMis</vt:lpstr>
      <vt:lpstr>UnMis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Pietro Li Castri</dc:creator>
  <cp:lastModifiedBy>Angela Caruso</cp:lastModifiedBy>
  <cp:lastPrinted>2019-03-29T08:09:08Z</cp:lastPrinted>
  <dcterms:created xsi:type="dcterms:W3CDTF">2018-11-29T16:53:52Z</dcterms:created>
  <dcterms:modified xsi:type="dcterms:W3CDTF">2019-09-30T08:49:29Z</dcterms:modified>
</cp:coreProperties>
</file>